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CPLOSE.2022\PL 019 - CONC 005 - LIMP. URBANA\Edital alterado\CONC. 005.2022 - REPUBLICADA\"/>
    </mc:Choice>
  </mc:AlternateContent>
  <xr:revisionPtr revIDLastSave="0" documentId="8_{AFF5339D-6737-46FF-8822-0AB37511613C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RESUMO" sheetId="23" r:id="rId1"/>
    <sheet name="ELMAR" sheetId="209" r:id="rId2"/>
    <sheet name="DADOS" sheetId="166" r:id="rId3"/>
    <sheet name="COLETOR" sheetId="1" r:id="rId4"/>
    <sheet name="VARREDOR" sheetId="2" r:id="rId5"/>
    <sheet name="MOTORISTA" sheetId="5" r:id="rId6"/>
    <sheet name="ENC I" sheetId="131" r:id="rId7"/>
    <sheet name="AUX I" sheetId="136" r:id="rId8"/>
    <sheet name="GER I" sheetId="137" r:id="rId9"/>
    <sheet name="VIGIA" sheetId="144" r:id="rId10"/>
    <sheet name="BASCULANTE 6" sheetId="6" r:id="rId11"/>
    <sheet name="basc 12m3" sheetId="203" r:id="rId12"/>
    <sheet name="COMPACTADOR 15 m3" sheetId="36" r:id="rId13"/>
    <sheet name="Cavalo" sheetId="170" state="hidden" r:id="rId14"/>
    <sheet name="Carreta" sheetId="171" state="hidden" r:id="rId15"/>
    <sheet name="COMP NOTURNO" sheetId="196" r:id="rId16"/>
    <sheet name="reserva" sheetId="205" r:id="rId17"/>
    <sheet name="CAMP TRANSP" sheetId="208" r:id="rId18"/>
    <sheet name="retro" sheetId="206" r:id="rId19"/>
    <sheet name="VARRIÇÃO" sheetId="51" r:id="rId20"/>
    <sheet name="DOMICILIAR" sheetId="17" r:id="rId21"/>
    <sheet name="volumosos" sheetId="84" r:id="rId22"/>
    <sheet name="vol1" sheetId="204" r:id="rId23"/>
    <sheet name="Podação" sheetId="66" r:id="rId24"/>
    <sheet name="ENSACADA" sheetId="201" r:id="rId25"/>
    <sheet name="CAPINAÇÃO" sheetId="9" r:id="rId26"/>
    <sheet name="pintura" sheetId="107" r:id="rId27"/>
    <sheet name="diversos" sheetId="90" r:id="rId28"/>
    <sheet name="TRANSB" sheetId="163" state="hidden" r:id="rId29"/>
    <sheet name="TRANSP" sheetId="207" r:id="rId30"/>
    <sheet name="Adm1" sheetId="106" r:id="rId31"/>
    <sheet name="PREÇOS" sheetId="47" r:id="rId32"/>
    <sheet name="Encargos" sheetId="72" r:id="rId33"/>
    <sheet name="BDI" sheetId="158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Area" localSheetId="30">'Adm1'!$A$1:$D$172</definedName>
    <definedName name="_xlnm.Print_Area" localSheetId="7">'AUX I'!$A$1:$C$58</definedName>
    <definedName name="_xlnm.Print_Area" localSheetId="11">'basc 12m3'!$A$1:$C$63</definedName>
    <definedName name="_xlnm.Print_Area" localSheetId="10">'BASCULANTE 6'!$A$1:$C$63</definedName>
    <definedName name="_xlnm.Print_Area" localSheetId="33">BDI!$A$1:$C$13</definedName>
    <definedName name="_xlnm.Print_Area" localSheetId="17">'CAMP TRANSP'!$A$1:$C$61</definedName>
    <definedName name="_xlnm.Print_Area" localSheetId="25">CAPINAÇÃO!$A$1:$E$90</definedName>
    <definedName name="_xlnm.Print_Area" localSheetId="14">Carreta!$A$1:$C$61</definedName>
    <definedName name="_xlnm.Print_Area" localSheetId="13">Cavalo!$A$1:$C$61</definedName>
    <definedName name="_xlnm.Print_Area" localSheetId="3">COLETOR!$A$6:$C$59</definedName>
    <definedName name="_xlnm.Print_Area" localSheetId="15">'COMP NOTURNO'!$A$1:$C$63</definedName>
    <definedName name="_xlnm.Print_Area" localSheetId="12">'COMPACTADOR 15 m3'!$A$1:$C$61</definedName>
    <definedName name="_xlnm.Print_Area" localSheetId="2">DADOS!$A$1:$E$24</definedName>
    <definedName name="_xlnm.Print_Area" localSheetId="27">diversos!$A$1:$E$90</definedName>
    <definedName name="_xlnm.Print_Area" localSheetId="20">DOMICILIAR!$A$1:$G$108</definedName>
    <definedName name="_xlnm.Print_Area" localSheetId="6">'ENC I'!$A$1:$C$60</definedName>
    <definedName name="_xlnm.Print_Area" localSheetId="32">Encargos!$A$1:$B$56</definedName>
    <definedName name="_xlnm.Print_Area" localSheetId="24">ENSACADA!$A$1:$E$91</definedName>
    <definedName name="_xlnm.Print_Area" localSheetId="8">'GER I'!$A$1:$C$59</definedName>
    <definedName name="_xlnm.Print_Area" localSheetId="5">MOTORISTA!$A$1:$C$59</definedName>
    <definedName name="_xlnm.Print_Area" localSheetId="26">pintura!$A$1:$E$69</definedName>
    <definedName name="_xlnm.Print_Area" localSheetId="23">Podação!$A$1:$F$92</definedName>
    <definedName name="_xlnm.Print_Area" localSheetId="31">PREÇOS!$A$1:$J$30</definedName>
    <definedName name="_xlnm.Print_Area" localSheetId="16">reserva!$A$1:$C$61</definedName>
    <definedName name="_xlnm.Print_Area" localSheetId="0">RESUMO!$A$1:$G$20</definedName>
    <definedName name="_xlnm.Print_Area" localSheetId="18">retro!$A$1:$S$34</definedName>
    <definedName name="_xlnm.Print_Area" localSheetId="28">TRANSB!$A$1:$G$77</definedName>
    <definedName name="_xlnm.Print_Area" localSheetId="29">TRANSP!$A$2:$G$108</definedName>
    <definedName name="_xlnm.Print_Area" localSheetId="4">VARREDOR!$A$1:$C$65</definedName>
    <definedName name="_xlnm.Print_Area" localSheetId="19">VARRIÇÃO!$A$1:$G$89</definedName>
    <definedName name="_xlnm.Print_Area" localSheetId="9">VIGIA!$A$1:$C$58</definedName>
    <definedName name="_xlnm.Print_Area" localSheetId="22">'vol1'!$A$1:$E$97</definedName>
    <definedName name="_xlnm.Print_Area" localSheetId="21">volumosos!$A$1:$G$97</definedName>
    <definedName name="_xlnm.Print_Titles" localSheetId="30">'Adm1'!$7:$11</definedName>
    <definedName name="_xlnm.Print_Titles" localSheetId="10">'BASCULANTE 6'!$1:$8</definedName>
    <definedName name="_xlnm.Print_Titles" localSheetId="25">CAPINAÇÃO!$7:$11</definedName>
    <definedName name="_xlnm.Print_Titles" localSheetId="12">'COMPACTADOR 15 m3'!$1:$8</definedName>
    <definedName name="_xlnm.Print_Titles" localSheetId="27">diversos!$6:$10</definedName>
    <definedName name="_xlnm.Print_Titles" localSheetId="20">DOMICILIAR!$6:$10</definedName>
    <definedName name="_xlnm.Print_Titles" localSheetId="24">ENSACADA!$6:$10</definedName>
    <definedName name="_xlnm.Print_Titles" localSheetId="5">MOTORISTA!$1:$7</definedName>
    <definedName name="_xlnm.Print_Titles" localSheetId="26">pintura!$7:$11</definedName>
    <definedName name="_xlnm.Print_Titles" localSheetId="23">Podação!$6:$10</definedName>
    <definedName name="_xlnm.Print_Titles" localSheetId="0">RESUMO!$1:$6</definedName>
    <definedName name="_xlnm.Print_Titles" localSheetId="29">TRANSP!$6:$10</definedName>
    <definedName name="_xlnm.Print_Titles" localSheetId="4">VARREDOR!$1:$6</definedName>
    <definedName name="_xlnm.Print_Titles" localSheetId="19">VARRIÇÃO!$6:$10</definedName>
    <definedName name="_xlnm.Print_Titles" localSheetId="22">'vol1'!$7:$11</definedName>
    <definedName name="_xlnm.Print_Titles" localSheetId="21">volumosos!$7:$11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" i="36" l="1"/>
  <c r="C68" i="36"/>
  <c r="B68" i="36"/>
  <c r="D108" i="17"/>
  <c r="B61" i="36"/>
  <c r="E41" i="36"/>
  <c r="E43" i="36" s="1"/>
  <c r="D17" i="209"/>
  <c r="C15" i="209"/>
  <c r="C13" i="209"/>
  <c r="C12" i="209"/>
  <c r="C11" i="209"/>
  <c r="C10" i="209"/>
  <c r="D10" i="209" s="1"/>
  <c r="C9" i="209"/>
  <c r="D9" i="209" s="1"/>
  <c r="C8" i="209"/>
  <c r="D8" i="209" s="1"/>
  <c r="C7" i="209"/>
  <c r="D15" i="209" l="1"/>
  <c r="D11" i="209"/>
  <c r="D7" i="209"/>
  <c r="D13" i="209"/>
  <c r="D12" i="209"/>
  <c r="G17" i="1"/>
  <c r="G30" i="47"/>
  <c r="J30" i="47" s="1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20" i="47"/>
  <c r="J20" i="47" s="1"/>
  <c r="G21" i="47"/>
  <c r="G22" i="47"/>
  <c r="G23" i="47"/>
  <c r="G24" i="47"/>
  <c r="G25" i="47"/>
  <c r="G26" i="47"/>
  <c r="G27" i="47"/>
  <c r="G28" i="47"/>
  <c r="G29" i="47"/>
  <c r="G5" i="47"/>
  <c r="F19" i="47"/>
  <c r="G19" i="47" s="1"/>
  <c r="J19" i="47" s="1"/>
  <c r="C41" i="201"/>
  <c r="D13" i="51"/>
  <c r="B30" i="51" s="1"/>
  <c r="F13" i="51"/>
  <c r="C13" i="23"/>
  <c r="B27" i="144"/>
  <c r="B27" i="1"/>
  <c r="G28" i="208"/>
  <c r="G27" i="208"/>
  <c r="G13" i="208"/>
  <c r="G14" i="208"/>
  <c r="B15" i="208" s="1"/>
  <c r="K17" i="208" s="1"/>
  <c r="G13" i="205"/>
  <c r="G14" i="205"/>
  <c r="B12" i="205" s="1"/>
  <c r="G13" i="196"/>
  <c r="G14" i="196" s="1"/>
  <c r="E27" i="6"/>
  <c r="B27" i="6" s="1"/>
  <c r="G16" i="205"/>
  <c r="G17" i="205" s="1"/>
  <c r="B57" i="205" s="1"/>
  <c r="B59" i="205" s="1"/>
  <c r="C142" i="106"/>
  <c r="C135" i="106"/>
  <c r="C122" i="106"/>
  <c r="B58" i="208"/>
  <c r="B58" i="205"/>
  <c r="B58" i="196"/>
  <c r="B58" i="36"/>
  <c r="B58" i="203"/>
  <c r="B58" i="6"/>
  <c r="C89" i="106"/>
  <c r="C69" i="106"/>
  <c r="G71" i="106"/>
  <c r="G24" i="106"/>
  <c r="C43" i="106"/>
  <c r="B27" i="205"/>
  <c r="B27" i="196"/>
  <c r="E27" i="203"/>
  <c r="B27" i="36"/>
  <c r="C8" i="23"/>
  <c r="D107" i="207"/>
  <c r="C16" i="209" s="1"/>
  <c r="D16" i="209" s="1"/>
  <c r="D25" i="17"/>
  <c r="D13" i="17"/>
  <c r="G13" i="36"/>
  <c r="G14" i="36" s="1"/>
  <c r="G14" i="203"/>
  <c r="G16" i="203" s="1"/>
  <c r="G17" i="203" s="1"/>
  <c r="B57" i="203" s="1"/>
  <c r="B59" i="203" s="1"/>
  <c r="G14" i="6"/>
  <c r="G16" i="6" s="1"/>
  <c r="G17" i="6" s="1"/>
  <c r="B57" i="6" s="1"/>
  <c r="B59" i="6" s="1"/>
  <c r="E21" i="166"/>
  <c r="E20" i="166"/>
  <c r="D19" i="166"/>
  <c r="E19" i="166" s="1"/>
  <c r="E18" i="166"/>
  <c r="E10" i="166"/>
  <c r="J8" i="166"/>
  <c r="J7" i="166"/>
  <c r="C6" i="166"/>
  <c r="J5" i="166"/>
  <c r="J4" i="166"/>
  <c r="E4" i="166"/>
  <c r="J3" i="166"/>
  <c r="D6" i="166" s="1"/>
  <c r="E6" i="166" s="1"/>
  <c r="D9" i="166"/>
  <c r="E9" i="166" s="1"/>
  <c r="B33" i="203"/>
  <c r="B33" i="6"/>
  <c r="B33" i="205" s="1"/>
  <c r="E5" i="166"/>
  <c r="B51" i="208"/>
  <c r="B50" i="208"/>
  <c r="B47" i="208"/>
  <c r="B26" i="208"/>
  <c r="D88" i="207"/>
  <c r="D87" i="207"/>
  <c r="D89" i="207" s="1"/>
  <c r="D83" i="207"/>
  <c r="D91" i="207" s="1"/>
  <c r="D70" i="207"/>
  <c r="D66" i="207"/>
  <c r="D41" i="207"/>
  <c r="D37" i="207"/>
  <c r="C51" i="106"/>
  <c r="C15" i="23"/>
  <c r="C10" i="23"/>
  <c r="C11" i="23"/>
  <c r="C12" i="23"/>
  <c r="C7" i="23"/>
  <c r="J15" i="208"/>
  <c r="B52" i="208"/>
  <c r="B41" i="208"/>
  <c r="B43" i="208" s="1"/>
  <c r="D24" i="206"/>
  <c r="D25" i="206"/>
  <c r="E25" i="206" s="1"/>
  <c r="E29" i="206"/>
  <c r="D27" i="206"/>
  <c r="E26" i="206"/>
  <c r="H23" i="206"/>
  <c r="E23" i="206"/>
  <c r="E18" i="206"/>
  <c r="V17" i="206"/>
  <c r="V18" i="206" s="1"/>
  <c r="E17" i="206"/>
  <c r="P16" i="206"/>
  <c r="P15" i="206"/>
  <c r="E15" i="206"/>
  <c r="D15" i="206"/>
  <c r="P14" i="206"/>
  <c r="P13" i="206"/>
  <c r="D13" i="206"/>
  <c r="Q15" i="206" s="1"/>
  <c r="P12" i="206"/>
  <c r="E12" i="206"/>
  <c r="P11" i="206"/>
  <c r="P10" i="206"/>
  <c r="M10" i="206"/>
  <c r="M11" i="206" s="1"/>
  <c r="D16" i="206" s="1"/>
  <c r="P9" i="206"/>
  <c r="E9" i="206"/>
  <c r="E8" i="206"/>
  <c r="D28" i="206"/>
  <c r="E28" i="206" s="1"/>
  <c r="Q11" i="206"/>
  <c r="Q13" i="206"/>
  <c r="E27" i="206"/>
  <c r="E24" i="206"/>
  <c r="B51" i="205"/>
  <c r="B50" i="205"/>
  <c r="B47" i="205"/>
  <c r="K32" i="205"/>
  <c r="L28" i="205"/>
  <c r="M28" i="205" s="1"/>
  <c r="B26" i="205"/>
  <c r="B41" i="205"/>
  <c r="B43" i="205" s="1"/>
  <c r="D77" i="204"/>
  <c r="D76" i="204"/>
  <c r="D71" i="204"/>
  <c r="D79" i="204" s="1"/>
  <c r="B57" i="204"/>
  <c r="D57" i="204" s="1"/>
  <c r="D44" i="204"/>
  <c r="J17" i="205"/>
  <c r="J13" i="205"/>
  <c r="J14" i="205"/>
  <c r="O13" i="205"/>
  <c r="B15" i="205"/>
  <c r="K13" i="205" s="1"/>
  <c r="L13" i="205" s="1"/>
  <c r="J15" i="205"/>
  <c r="J16" i="205"/>
  <c r="K17" i="205"/>
  <c r="K14" i="205"/>
  <c r="L14" i="205" s="1"/>
  <c r="M14" i="205" s="1"/>
  <c r="O15" i="205" s="1"/>
  <c r="K16" i="205"/>
  <c r="K15" i="205"/>
  <c r="B52" i="203"/>
  <c r="B51" i="203"/>
  <c r="B53" i="203" s="1"/>
  <c r="B27" i="203"/>
  <c r="B35" i="203" s="1"/>
  <c r="B36" i="203" s="1"/>
  <c r="B26" i="203"/>
  <c r="J17" i="203"/>
  <c r="J16" i="203"/>
  <c r="B15" i="203"/>
  <c r="K17" i="203" s="1"/>
  <c r="J14" i="203"/>
  <c r="J13" i="203"/>
  <c r="K14" i="203"/>
  <c r="O13" i="203"/>
  <c r="J15" i="203"/>
  <c r="B41" i="203"/>
  <c r="B43" i="203"/>
  <c r="B16" i="205"/>
  <c r="B13" i="1"/>
  <c r="B14" i="1"/>
  <c r="C82" i="106"/>
  <c r="M89" i="201"/>
  <c r="D66" i="201"/>
  <c r="D74" i="201"/>
  <c r="D60" i="201"/>
  <c r="D72" i="201" s="1"/>
  <c r="D59" i="201"/>
  <c r="D71" i="201" s="1"/>
  <c r="D76" i="201" s="1"/>
  <c r="D83" i="201" s="1"/>
  <c r="D51" i="201"/>
  <c r="D52" i="201" s="1"/>
  <c r="D54" i="201" s="1"/>
  <c r="D44" i="201"/>
  <c r="B42" i="201"/>
  <c r="D42" i="201" s="1"/>
  <c r="D38" i="201"/>
  <c r="B51" i="196"/>
  <c r="C9" i="23"/>
  <c r="J5" i="47"/>
  <c r="D29" i="201" s="1"/>
  <c r="J6" i="47"/>
  <c r="D28" i="201" s="1"/>
  <c r="J7" i="47"/>
  <c r="D62" i="207" s="1"/>
  <c r="J8" i="47"/>
  <c r="D61" i="207" s="1"/>
  <c r="J9" i="47"/>
  <c r="D54" i="204" s="1"/>
  <c r="J10" i="47"/>
  <c r="J11" i="47"/>
  <c r="J12" i="47"/>
  <c r="D34" i="201" s="1"/>
  <c r="J13" i="47"/>
  <c r="D37" i="201"/>
  <c r="J14" i="47"/>
  <c r="D64" i="207" s="1"/>
  <c r="J15" i="47"/>
  <c r="J16" i="47"/>
  <c r="D36" i="201"/>
  <c r="J17" i="47"/>
  <c r="D35" i="201" s="1"/>
  <c r="J18" i="47"/>
  <c r="D40" i="201" s="1"/>
  <c r="J21" i="47"/>
  <c r="B25" i="2" s="1"/>
  <c r="J22" i="47"/>
  <c r="J23" i="47"/>
  <c r="J24" i="47"/>
  <c r="J25" i="47"/>
  <c r="J26" i="47"/>
  <c r="J27" i="47"/>
  <c r="J28" i="47"/>
  <c r="D63" i="207"/>
  <c r="D55" i="204"/>
  <c r="D32" i="201"/>
  <c r="D30" i="201"/>
  <c r="D53" i="204"/>
  <c r="D31" i="201"/>
  <c r="B33" i="196"/>
  <c r="B36" i="196" s="1"/>
  <c r="B33" i="36"/>
  <c r="B50" i="196"/>
  <c r="B47" i="196"/>
  <c r="B35" i="196"/>
  <c r="B26" i="196"/>
  <c r="B29" i="196"/>
  <c r="H143" i="106"/>
  <c r="J143" i="106" s="1"/>
  <c r="O13" i="196"/>
  <c r="J13" i="196"/>
  <c r="B41" i="196"/>
  <c r="B43" i="196" s="1"/>
  <c r="J17" i="196"/>
  <c r="B15" i="196"/>
  <c r="K15" i="196" s="1"/>
  <c r="J14" i="196"/>
  <c r="K16" i="196"/>
  <c r="L41" i="1"/>
  <c r="J6" i="158"/>
  <c r="K6" i="158" s="1"/>
  <c r="J7" i="158"/>
  <c r="K7" i="158" s="1"/>
  <c r="J8" i="158"/>
  <c r="K8" i="158" s="1"/>
  <c r="J9" i="158"/>
  <c r="K9" i="158" s="1"/>
  <c r="J5" i="158"/>
  <c r="K5" i="158" s="1"/>
  <c r="C17" i="158"/>
  <c r="G12" i="158"/>
  <c r="C18" i="158"/>
  <c r="C12" i="158"/>
  <c r="C20" i="158" s="1"/>
  <c r="B54" i="72"/>
  <c r="B46" i="72"/>
  <c r="B41" i="72"/>
  <c r="B24" i="72"/>
  <c r="B13" i="72"/>
  <c r="B11" i="72"/>
  <c r="B24" i="2"/>
  <c r="B55" i="2"/>
  <c r="D40" i="90"/>
  <c r="M175" i="106"/>
  <c r="K175" i="106"/>
  <c r="J175" i="106"/>
  <c r="I175" i="106"/>
  <c r="D174" i="106"/>
  <c r="I173" i="106"/>
  <c r="D172" i="106"/>
  <c r="D168" i="106"/>
  <c r="C164" i="106"/>
  <c r="C149" i="106"/>
  <c r="C151" i="106" s="1"/>
  <c r="C129" i="106"/>
  <c r="C137" i="106" s="1"/>
  <c r="C138" i="106" s="1"/>
  <c r="C128" i="106"/>
  <c r="C124" i="106"/>
  <c r="C143" i="106"/>
  <c r="C145" i="106" s="1"/>
  <c r="C118" i="106"/>
  <c r="C83" i="106"/>
  <c r="J75" i="106"/>
  <c r="J74" i="106"/>
  <c r="J73" i="106"/>
  <c r="J72" i="106"/>
  <c r="J71" i="106"/>
  <c r="K71" i="106"/>
  <c r="L71" i="106" s="1"/>
  <c r="C37" i="106"/>
  <c r="C45" i="106" s="1"/>
  <c r="C46" i="106" s="1"/>
  <c r="C36" i="106"/>
  <c r="J28" i="106"/>
  <c r="J27" i="106"/>
  <c r="J26" i="106"/>
  <c r="J25" i="106"/>
  <c r="J24" i="106"/>
  <c r="K25" i="106"/>
  <c r="D85" i="163"/>
  <c r="H76" i="163"/>
  <c r="H77" i="163"/>
  <c r="D76" i="163"/>
  <c r="O75" i="163"/>
  <c r="M75" i="163"/>
  <c r="L75" i="163"/>
  <c r="K75" i="163"/>
  <c r="K73" i="163"/>
  <c r="J71" i="163"/>
  <c r="D59" i="163"/>
  <c r="D56" i="163"/>
  <c r="D55" i="163"/>
  <c r="D54" i="163"/>
  <c r="D53" i="163"/>
  <c r="D52" i="163"/>
  <c r="D51" i="163"/>
  <c r="D50" i="163"/>
  <c r="D43" i="163"/>
  <c r="D44" i="163" s="1"/>
  <c r="D32" i="163"/>
  <c r="M88" i="90"/>
  <c r="D65" i="90"/>
  <c r="D73" i="90" s="1"/>
  <c r="D59" i="90"/>
  <c r="D71" i="90" s="1"/>
  <c r="D58" i="90"/>
  <c r="D70" i="90" s="1"/>
  <c r="D75" i="90" s="1"/>
  <c r="D82" i="90" s="1"/>
  <c r="D50" i="90"/>
  <c r="D51" i="90" s="1"/>
  <c r="D53" i="90" s="1"/>
  <c r="D43" i="90"/>
  <c r="B41" i="90"/>
  <c r="D41" i="90" s="1"/>
  <c r="D39" i="90"/>
  <c r="D38" i="90"/>
  <c r="D35" i="90"/>
  <c r="D33" i="90"/>
  <c r="D31" i="90"/>
  <c r="D29" i="90"/>
  <c r="D28" i="90"/>
  <c r="D68" i="107"/>
  <c r="C14" i="209" s="1"/>
  <c r="B44" i="107"/>
  <c r="D44" i="107" s="1"/>
  <c r="D43" i="107"/>
  <c r="D42" i="107"/>
  <c r="D41" i="107"/>
  <c r="D38" i="107"/>
  <c r="D37" i="107"/>
  <c r="D34" i="107"/>
  <c r="D31" i="107"/>
  <c r="J24" i="107"/>
  <c r="D21" i="107"/>
  <c r="D68" i="9"/>
  <c r="D65" i="9"/>
  <c r="D73" i="9" s="1"/>
  <c r="D59" i="9"/>
  <c r="D71" i="9" s="1"/>
  <c r="D58" i="9"/>
  <c r="B43" i="9"/>
  <c r="D43" i="9" s="1"/>
  <c r="D41" i="9"/>
  <c r="D38" i="9"/>
  <c r="D37" i="9"/>
  <c r="D35" i="9"/>
  <c r="D33" i="9"/>
  <c r="D32" i="9"/>
  <c r="J25" i="9"/>
  <c r="D70" i="66"/>
  <c r="D72" i="66" s="1"/>
  <c r="D77" i="66" s="1"/>
  <c r="D84" i="66" s="1"/>
  <c r="D67" i="66"/>
  <c r="D73" i="66"/>
  <c r="B53" i="66"/>
  <c r="D53" i="66" s="1"/>
  <c r="B52" i="66"/>
  <c r="D52" i="66" s="1"/>
  <c r="B51" i="66"/>
  <c r="D51" i="66" s="1"/>
  <c r="D49" i="66"/>
  <c r="B48" i="66"/>
  <c r="D39" i="66"/>
  <c r="D76" i="84"/>
  <c r="D71" i="84"/>
  <c r="D79" i="84" s="1"/>
  <c r="D77" i="84"/>
  <c r="B57" i="84"/>
  <c r="D57" i="84" s="1"/>
  <c r="D56" i="84"/>
  <c r="D53" i="84"/>
  <c r="D44" i="84"/>
  <c r="D40" i="84"/>
  <c r="B104" i="17"/>
  <c r="D87" i="17"/>
  <c r="D83" i="17"/>
  <c r="D91" i="17" s="1"/>
  <c r="D88" i="17"/>
  <c r="D70" i="17"/>
  <c r="B66" i="17"/>
  <c r="D66" i="17"/>
  <c r="B65" i="17"/>
  <c r="D65" i="17" s="1"/>
  <c r="B64" i="17"/>
  <c r="D64" i="17"/>
  <c r="D62" i="17"/>
  <c r="D60" i="17"/>
  <c r="D59" i="17"/>
  <c r="D41" i="17"/>
  <c r="D37" i="17"/>
  <c r="A101" i="51"/>
  <c r="A97" i="51" s="1"/>
  <c r="A98" i="51" s="1"/>
  <c r="D67" i="51"/>
  <c r="D68" i="51" s="1"/>
  <c r="D70" i="51" s="1"/>
  <c r="D53" i="51"/>
  <c r="D61" i="51" s="1"/>
  <c r="D47" i="51"/>
  <c r="D59" i="51" s="1"/>
  <c r="D46" i="51"/>
  <c r="D58" i="51" s="1"/>
  <c r="D37" i="51"/>
  <c r="B31" i="51"/>
  <c r="D31" i="51"/>
  <c r="D27" i="51"/>
  <c r="D29" i="51"/>
  <c r="B59" i="171"/>
  <c r="B51" i="171"/>
  <c r="B50" i="171"/>
  <c r="B42" i="171"/>
  <c r="B33" i="171"/>
  <c r="F27" i="171"/>
  <c r="B27" i="171"/>
  <c r="B35" i="171"/>
  <c r="B36" i="171" s="1"/>
  <c r="B15" i="171"/>
  <c r="H13" i="171"/>
  <c r="H14" i="171" s="1"/>
  <c r="B12" i="171" s="1"/>
  <c r="B51" i="170"/>
  <c r="B50" i="170"/>
  <c r="B49" i="170"/>
  <c r="B48" i="170"/>
  <c r="B47" i="170"/>
  <c r="B42" i="170"/>
  <c r="B33" i="170"/>
  <c r="F27" i="170"/>
  <c r="B27" i="170"/>
  <c r="B35" i="170" s="1"/>
  <c r="B26" i="170"/>
  <c r="B15" i="170"/>
  <c r="H14" i="170"/>
  <c r="B12" i="170" s="1"/>
  <c r="B51" i="36"/>
  <c r="B50" i="36"/>
  <c r="B52" i="36" s="1"/>
  <c r="B53" i="36" s="1"/>
  <c r="B47" i="36"/>
  <c r="B35" i="36"/>
  <c r="B26" i="36"/>
  <c r="B52" i="6"/>
  <c r="B51" i="6"/>
  <c r="B35" i="6"/>
  <c r="B26" i="6"/>
  <c r="B29" i="6" s="1"/>
  <c r="B51" i="144"/>
  <c r="A35" i="144"/>
  <c r="B29" i="144"/>
  <c r="B55" i="144" s="1"/>
  <c r="B24" i="144"/>
  <c r="B23" i="144"/>
  <c r="B49" i="144" s="1"/>
  <c r="B14" i="144"/>
  <c r="B39" i="144"/>
  <c r="B51" i="137"/>
  <c r="A35" i="137"/>
  <c r="B29" i="137"/>
  <c r="B55" i="137" s="1"/>
  <c r="B22" i="137"/>
  <c r="B48" i="137"/>
  <c r="B51" i="136"/>
  <c r="B50" i="136"/>
  <c r="B49" i="136"/>
  <c r="A35" i="136"/>
  <c r="B29" i="136"/>
  <c r="B55" i="136" s="1"/>
  <c r="B24" i="136"/>
  <c r="B23" i="136"/>
  <c r="B52" i="131"/>
  <c r="A35" i="131"/>
  <c r="B29" i="131"/>
  <c r="B56" i="131"/>
  <c r="B24" i="131"/>
  <c r="B51" i="131" s="1"/>
  <c r="B23" i="131"/>
  <c r="B50" i="131"/>
  <c r="B52" i="5"/>
  <c r="B51" i="5"/>
  <c r="B29" i="5"/>
  <c r="B55" i="5"/>
  <c r="B24" i="5"/>
  <c r="B50" i="5" s="1"/>
  <c r="B23" i="5"/>
  <c r="B49" i="5"/>
  <c r="B15" i="5"/>
  <c r="B40" i="5"/>
  <c r="B14" i="5"/>
  <c r="B31" i="2"/>
  <c r="B61" i="2" s="1"/>
  <c r="B23" i="2"/>
  <c r="B53" i="2" s="1"/>
  <c r="B22" i="2"/>
  <c r="B52" i="2" s="1"/>
  <c r="B14" i="2"/>
  <c r="B43" i="2" s="1"/>
  <c r="B56" i="1"/>
  <c r="B25" i="1"/>
  <c r="B52" i="1"/>
  <c r="B24" i="1"/>
  <c r="B51" i="1"/>
  <c r="B23" i="1"/>
  <c r="B50" i="1" s="1"/>
  <c r="B22" i="1"/>
  <c r="B49" i="1" s="1"/>
  <c r="B40" i="1"/>
  <c r="B39" i="1"/>
  <c r="K24" i="106"/>
  <c r="L24" i="106"/>
  <c r="M24" i="106" s="1"/>
  <c r="K72" i="106"/>
  <c r="L72" i="106" s="1"/>
  <c r="B86" i="90"/>
  <c r="B87" i="201"/>
  <c r="D75" i="66"/>
  <c r="K74" i="106"/>
  <c r="K75" i="106"/>
  <c r="D30" i="51"/>
  <c r="D33" i="51" s="1"/>
  <c r="D79" i="51" s="1"/>
  <c r="J13" i="6"/>
  <c r="O13" i="6"/>
  <c r="B13" i="2"/>
  <c r="B42" i="2"/>
  <c r="B44" i="2" s="1"/>
  <c r="B15" i="1"/>
  <c r="C39" i="106"/>
  <c r="B52" i="170"/>
  <c r="B53" i="170" s="1"/>
  <c r="A102" i="51"/>
  <c r="D70" i="9"/>
  <c r="B27" i="5"/>
  <c r="B53" i="5" s="1"/>
  <c r="B14" i="137"/>
  <c r="B39" i="137"/>
  <c r="B41" i="137" s="1"/>
  <c r="B42" i="137" s="1"/>
  <c r="B41" i="6"/>
  <c r="B53" i="6"/>
  <c r="B29" i="171"/>
  <c r="B27" i="136"/>
  <c r="B53" i="136" s="1"/>
  <c r="D89" i="17"/>
  <c r="D93" i="17" s="1"/>
  <c r="D100" i="17" s="1"/>
  <c r="B29" i="36"/>
  <c r="D57" i="163"/>
  <c r="D62" i="163" s="1"/>
  <c r="D68" i="163" s="1"/>
  <c r="B14" i="72"/>
  <c r="D33" i="107"/>
  <c r="D61" i="17"/>
  <c r="D38" i="51"/>
  <c r="D39" i="51" s="1"/>
  <c r="D41" i="51" s="1"/>
  <c r="D80" i="51" s="1"/>
  <c r="D55" i="84"/>
  <c r="D63" i="17"/>
  <c r="D36" i="90"/>
  <c r="D39" i="107"/>
  <c r="D40" i="9"/>
  <c r="D52" i="84"/>
  <c r="D42" i="9"/>
  <c r="B41" i="1"/>
  <c r="B22" i="144"/>
  <c r="B48" i="144" s="1"/>
  <c r="B36" i="6"/>
  <c r="B29" i="170"/>
  <c r="C85" i="106"/>
  <c r="C131" i="106"/>
  <c r="B39" i="5"/>
  <c r="B16" i="5"/>
  <c r="E50" i="136"/>
  <c r="G50" i="136" s="1"/>
  <c r="B16" i="144"/>
  <c r="J17" i="6"/>
  <c r="J15" i="6"/>
  <c r="B53" i="171"/>
  <c r="D34" i="90"/>
  <c r="C91" i="106"/>
  <c r="C92" i="106" s="1"/>
  <c r="B36" i="36"/>
  <c r="D32" i="90"/>
  <c r="D45" i="90" s="1"/>
  <c r="D81" i="90" s="1"/>
  <c r="D36" i="9"/>
  <c r="D50" i="66"/>
  <c r="D40" i="107"/>
  <c r="B27" i="131"/>
  <c r="B54" i="131" s="1"/>
  <c r="B22" i="136"/>
  <c r="D51" i="84"/>
  <c r="D47" i="66"/>
  <c r="D32" i="107"/>
  <c r="D37" i="90"/>
  <c r="K28" i="106"/>
  <c r="K27" i="106"/>
  <c r="K26" i="106"/>
  <c r="M71" i="106"/>
  <c r="K73" i="106"/>
  <c r="D46" i="66"/>
  <c r="D50" i="84"/>
  <c r="D59" i="84" s="1"/>
  <c r="D88" i="84" s="1"/>
  <c r="D36" i="107"/>
  <c r="D39" i="9"/>
  <c r="D48" i="66"/>
  <c r="D34" i="9"/>
  <c r="D30" i="90"/>
  <c r="D54" i="84"/>
  <c r="D35" i="107"/>
  <c r="B22" i="131"/>
  <c r="B30" i="131" s="1"/>
  <c r="B49" i="131"/>
  <c r="B22" i="5"/>
  <c r="B50" i="144"/>
  <c r="B54" i="2"/>
  <c r="J14" i="6"/>
  <c r="J16" i="6"/>
  <c r="B15" i="6"/>
  <c r="K17" i="6"/>
  <c r="B41" i="144"/>
  <c r="B42" i="144" s="1"/>
  <c r="B85" i="51"/>
  <c r="B73" i="163"/>
  <c r="B86" i="9"/>
  <c r="B168" i="106"/>
  <c r="B93" i="84"/>
  <c r="B88" i="66"/>
  <c r="B65" i="107"/>
  <c r="B30" i="144"/>
  <c r="B30" i="136"/>
  <c r="B53" i="144"/>
  <c r="B48" i="136"/>
  <c r="B16" i="137"/>
  <c r="B15" i="2"/>
  <c r="B54" i="1"/>
  <c r="B57" i="2" s="1"/>
  <c r="B27" i="2"/>
  <c r="B41" i="5"/>
  <c r="K13" i="6"/>
  <c r="L13" i="6" s="1"/>
  <c r="B42" i="1"/>
  <c r="B30" i="5"/>
  <c r="B48" i="5"/>
  <c r="K16" i="6"/>
  <c r="K15" i="6"/>
  <c r="B43" i="6"/>
  <c r="K14" i="6"/>
  <c r="C30" i="106"/>
  <c r="C32" i="106" s="1"/>
  <c r="C58" i="106"/>
  <c r="C59" i="106" s="1"/>
  <c r="C57" i="106"/>
  <c r="C26" i="106"/>
  <c r="C76" i="106"/>
  <c r="C104" i="106"/>
  <c r="C103" i="106"/>
  <c r="C72" i="106"/>
  <c r="B42" i="5"/>
  <c r="C97" i="106"/>
  <c r="C99" i="106" s="1"/>
  <c r="C78" i="106"/>
  <c r="C105" i="106"/>
  <c r="C53" i="106"/>
  <c r="B17" i="1"/>
  <c r="B16" i="1"/>
  <c r="B17" i="137" s="1"/>
  <c r="B17" i="131"/>
  <c r="B44" i="131" s="1"/>
  <c r="B43" i="137" l="1"/>
  <c r="B44" i="137" s="1"/>
  <c r="B18" i="137"/>
  <c r="B27" i="137"/>
  <c r="B56" i="136"/>
  <c r="G16" i="36"/>
  <c r="G17" i="36" s="1"/>
  <c r="B57" i="36" s="1"/>
  <c r="J17" i="36"/>
  <c r="K17" i="36"/>
  <c r="B41" i="36"/>
  <c r="B43" i="36" s="1"/>
  <c r="J13" i="36"/>
  <c r="O13" i="36"/>
  <c r="J15" i="36"/>
  <c r="B15" i="36"/>
  <c r="K16" i="36" s="1"/>
  <c r="J16" i="36"/>
  <c r="K15" i="36"/>
  <c r="J14" i="36"/>
  <c r="B63" i="6"/>
  <c r="F35" i="204" s="1"/>
  <c r="F36" i="204" s="1"/>
  <c r="B29" i="205"/>
  <c r="G29" i="208"/>
  <c r="B27" i="208" s="1"/>
  <c r="C107" i="106"/>
  <c r="C109" i="106" s="1"/>
  <c r="D68" i="17"/>
  <c r="D99" i="17" s="1"/>
  <c r="D81" i="84"/>
  <c r="D89" i="84" s="1"/>
  <c r="K13" i="203"/>
  <c r="L13" i="203" s="1"/>
  <c r="M13" i="203" s="1"/>
  <c r="O14" i="203" s="1"/>
  <c r="B29" i="203"/>
  <c r="B33" i="208"/>
  <c r="B17" i="144"/>
  <c r="D46" i="107"/>
  <c r="D59" i="107" s="1"/>
  <c r="B16" i="2"/>
  <c r="B17" i="2" s="1"/>
  <c r="K17" i="196"/>
  <c r="D60" i="207"/>
  <c r="D52" i="204"/>
  <c r="B17" i="5"/>
  <c r="B18" i="5" s="1"/>
  <c r="B32" i="5" s="1"/>
  <c r="B57" i="131"/>
  <c r="B36" i="170"/>
  <c r="D45" i="9"/>
  <c r="D80" i="9" s="1"/>
  <c r="M13" i="205"/>
  <c r="O14" i="205" s="1"/>
  <c r="B53" i="208"/>
  <c r="D8" i="166"/>
  <c r="B43" i="1"/>
  <c r="B43" i="5" s="1"/>
  <c r="B44" i="5" s="1"/>
  <c r="B17" i="136"/>
  <c r="L25" i="106"/>
  <c r="M25" i="106" s="1"/>
  <c r="D63" i="51"/>
  <c r="D81" i="51" s="1"/>
  <c r="D39" i="201"/>
  <c r="K16" i="203"/>
  <c r="B56" i="5"/>
  <c r="D55" i="66"/>
  <c r="D83" i="66" s="1"/>
  <c r="D75" i="9"/>
  <c r="D82" i="9" s="1"/>
  <c r="C61" i="106"/>
  <c r="C63" i="106" s="1"/>
  <c r="D56" i="204"/>
  <c r="L15" i="205"/>
  <c r="D93" i="207"/>
  <c r="D100" i="207" s="1"/>
  <c r="C153" i="106"/>
  <c r="C155" i="106" s="1"/>
  <c r="B52" i="196"/>
  <c r="B45" i="2"/>
  <c r="D72" i="51"/>
  <c r="D74" i="51" s="1"/>
  <c r="M13" i="6"/>
  <c r="O14" i="6" s="1"/>
  <c r="L14" i="6"/>
  <c r="B30" i="137"/>
  <c r="B32" i="137" s="1"/>
  <c r="B53" i="137"/>
  <c r="B56" i="137" s="1"/>
  <c r="B58" i="137" s="1"/>
  <c r="B59" i="137" s="1"/>
  <c r="B63" i="36"/>
  <c r="B41" i="170"/>
  <c r="B43" i="170" s="1"/>
  <c r="B20" i="170"/>
  <c r="B16" i="170"/>
  <c r="B41" i="171"/>
  <c r="B43" i="171" s="1"/>
  <c r="B20" i="171"/>
  <c r="B22" i="171" s="1"/>
  <c r="B16" i="171"/>
  <c r="M72" i="106"/>
  <c r="L73" i="106"/>
  <c r="B56" i="144"/>
  <c r="K11" i="158"/>
  <c r="K10" i="158"/>
  <c r="B46" i="2"/>
  <c r="C14" i="23"/>
  <c r="K13" i="196"/>
  <c r="L13" i="196" s="1"/>
  <c r="M13" i="196" s="1"/>
  <c r="O14" i="196" s="1"/>
  <c r="D33" i="201"/>
  <c r="D46" i="201" s="1"/>
  <c r="D82" i="201" s="1"/>
  <c r="D65" i="207"/>
  <c r="D50" i="204"/>
  <c r="D59" i="207"/>
  <c r="B22" i="205"/>
  <c r="B20" i="205"/>
  <c r="B29" i="208"/>
  <c r="B35" i="208"/>
  <c r="D14" i="209"/>
  <c r="B53" i="196"/>
  <c r="B61" i="196" s="1"/>
  <c r="B63" i="203"/>
  <c r="D81" i="204"/>
  <c r="D89" i="204" s="1"/>
  <c r="B56" i="2"/>
  <c r="B26" i="2"/>
  <c r="B21" i="2" s="1"/>
  <c r="B53" i="1"/>
  <c r="B26" i="1"/>
  <c r="B21" i="1" s="1"/>
  <c r="L16" i="205"/>
  <c r="L17" i="205" s="1"/>
  <c r="M17" i="205" s="1"/>
  <c r="O18" i="205" s="1"/>
  <c r="M15" i="205"/>
  <c r="O16" i="205" s="1"/>
  <c r="E16" i="206"/>
  <c r="D14" i="206"/>
  <c r="I23" i="206" s="1"/>
  <c r="G16" i="196"/>
  <c r="G17" i="196" s="1"/>
  <c r="J15" i="196"/>
  <c r="J16" i="196"/>
  <c r="K14" i="196"/>
  <c r="L14" i="196" s="1"/>
  <c r="M14" i="196" s="1"/>
  <c r="O15" i="196" s="1"/>
  <c r="B12" i="196"/>
  <c r="B20" i="196" s="1"/>
  <c r="D51" i="204"/>
  <c r="K15" i="203"/>
  <c r="B52" i="205"/>
  <c r="B53" i="205" s="1"/>
  <c r="B35" i="205"/>
  <c r="B36" i="205" s="1"/>
  <c r="Q10" i="206"/>
  <c r="Q12" i="206"/>
  <c r="K14" i="208"/>
  <c r="Q14" i="206"/>
  <c r="J13" i="208"/>
  <c r="O13" i="208"/>
  <c r="J14" i="208"/>
  <c r="L3" i="166"/>
  <c r="L4" i="166" s="1"/>
  <c r="B12" i="208"/>
  <c r="D7" i="166"/>
  <c r="G16" i="208"/>
  <c r="G17" i="208" s="1"/>
  <c r="B57" i="208" s="1"/>
  <c r="B59" i="208" s="1"/>
  <c r="B12" i="36"/>
  <c r="B93" i="204"/>
  <c r="Q16" i="206"/>
  <c r="K15" i="208"/>
  <c r="J17" i="208"/>
  <c r="K13" i="208"/>
  <c r="L13" i="208" s="1"/>
  <c r="C16" i="23"/>
  <c r="E13" i="206"/>
  <c r="Q9" i="206"/>
  <c r="R9" i="206" s="1"/>
  <c r="S9" i="206" s="1"/>
  <c r="K16" i="208"/>
  <c r="J16" i="208"/>
  <c r="B104" i="207"/>
  <c r="D26" i="207" l="1"/>
  <c r="D27" i="207" s="1"/>
  <c r="D24" i="107"/>
  <c r="D25" i="107" s="1"/>
  <c r="D25" i="66"/>
  <c r="B33" i="5"/>
  <c r="D25" i="9"/>
  <c r="D26" i="9" s="1"/>
  <c r="D26" i="204"/>
  <c r="D26" i="84"/>
  <c r="D27" i="84" s="1"/>
  <c r="D28" i="84" s="1"/>
  <c r="D26" i="17"/>
  <c r="D21" i="163"/>
  <c r="D59" i="204"/>
  <c r="D88" i="204" s="1"/>
  <c r="B43" i="144"/>
  <c r="B44" i="144" s="1"/>
  <c r="B18" i="144"/>
  <c r="B32" i="144" s="1"/>
  <c r="E8" i="166"/>
  <c r="B14" i="136"/>
  <c r="B44" i="1"/>
  <c r="B59" i="36"/>
  <c r="B57" i="196"/>
  <c r="B58" i="144"/>
  <c r="B59" i="144" s="1"/>
  <c r="B36" i="208"/>
  <c r="B63" i="208" s="1"/>
  <c r="B58" i="5"/>
  <c r="L26" i="106"/>
  <c r="R10" i="206"/>
  <c r="S10" i="206" s="1"/>
  <c r="F35" i="84"/>
  <c r="F36" i="84" s="1"/>
  <c r="K13" i="36"/>
  <c r="L13" i="36" s="1"/>
  <c r="M13" i="36" s="1"/>
  <c r="O14" i="36" s="1"/>
  <c r="B43" i="136"/>
  <c r="L14" i="203"/>
  <c r="M14" i="203" s="1"/>
  <c r="O15" i="203" s="1"/>
  <c r="K14" i="36"/>
  <c r="L14" i="36" s="1"/>
  <c r="M14" i="36" s="1"/>
  <c r="O15" i="36" s="1"/>
  <c r="B51" i="2"/>
  <c r="B62" i="2" s="1"/>
  <c r="B32" i="2"/>
  <c r="B34" i="2" s="1"/>
  <c r="B63" i="205"/>
  <c r="B61" i="205"/>
  <c r="D52" i="17" s="1"/>
  <c r="D53" i="17" s="1"/>
  <c r="B48" i="1"/>
  <c r="B57" i="1" s="1"/>
  <c r="B59" i="1" s="1"/>
  <c r="B30" i="1"/>
  <c r="B32" i="1" s="1"/>
  <c r="B16" i="36"/>
  <c r="B22" i="36"/>
  <c r="B20" i="36"/>
  <c r="R11" i="206"/>
  <c r="S11" i="206" s="1"/>
  <c r="M14" i="208"/>
  <c r="O15" i="208" s="1"/>
  <c r="L14" i="208"/>
  <c r="L15" i="208" s="1"/>
  <c r="M15" i="208" s="1"/>
  <c r="O16" i="208" s="1"/>
  <c r="M16" i="205"/>
  <c r="O17" i="205" s="1"/>
  <c r="D68" i="207"/>
  <c r="D99" i="207" s="1"/>
  <c r="M73" i="106"/>
  <c r="L74" i="106"/>
  <c r="L15" i="196"/>
  <c r="L16" i="196" s="1"/>
  <c r="L17" i="196" s="1"/>
  <c r="M17" i="196" s="1"/>
  <c r="O18" i="196" s="1"/>
  <c r="D22" i="163"/>
  <c r="D23" i="163"/>
  <c r="B57" i="170"/>
  <c r="B22" i="170"/>
  <c r="B58" i="170"/>
  <c r="B63" i="196"/>
  <c r="F48" i="17" s="1"/>
  <c r="F49" i="17" s="1"/>
  <c r="M13" i="208"/>
  <c r="O14" i="208" s="1"/>
  <c r="C14" i="106"/>
  <c r="D14" i="106" s="1"/>
  <c r="B33" i="137"/>
  <c r="B47" i="2"/>
  <c r="E7" i="166"/>
  <c r="B13" i="131"/>
  <c r="B20" i="208"/>
  <c r="B16" i="208"/>
  <c r="B22" i="208"/>
  <c r="B61" i="208" s="1"/>
  <c r="H26" i="206"/>
  <c r="H27" i="206" s="1"/>
  <c r="E14" i="206"/>
  <c r="B61" i="171"/>
  <c r="D39" i="163" s="1"/>
  <c r="D40" i="163" s="1"/>
  <c r="M14" i="6"/>
  <c r="O15" i="6" s="1"/>
  <c r="L15" i="6"/>
  <c r="D27" i="17"/>
  <c r="D28" i="17"/>
  <c r="B59" i="5" l="1"/>
  <c r="F26" i="204"/>
  <c r="F27" i="204" s="1"/>
  <c r="F28" i="204" s="1"/>
  <c r="F26" i="17"/>
  <c r="F21" i="163"/>
  <c r="F26" i="84"/>
  <c r="F27" i="84" s="1"/>
  <c r="F28" i="84" s="1"/>
  <c r="F26" i="207"/>
  <c r="F27" i="207" s="1"/>
  <c r="D27" i="204"/>
  <c r="D28" i="204"/>
  <c r="B39" i="136"/>
  <c r="B41" i="136" s="1"/>
  <c r="B42" i="136" s="1"/>
  <c r="B44" i="136" s="1"/>
  <c r="B58" i="136" s="1"/>
  <c r="B16" i="136"/>
  <c r="B18" i="136" s="1"/>
  <c r="B32" i="136" s="1"/>
  <c r="B33" i="144"/>
  <c r="C16" i="106"/>
  <c r="D16" i="106" s="1"/>
  <c r="L15" i="36"/>
  <c r="D26" i="66"/>
  <c r="D27" i="66" s="1"/>
  <c r="L15" i="203"/>
  <c r="R12" i="206"/>
  <c r="L27" i="106"/>
  <c r="M26" i="106"/>
  <c r="D48" i="207"/>
  <c r="D49" i="207" s="1"/>
  <c r="D52" i="207"/>
  <c r="D53" i="207" s="1"/>
  <c r="F48" i="207"/>
  <c r="F49" i="207" s="1"/>
  <c r="D24" i="163"/>
  <c r="M74" i="106"/>
  <c r="L75" i="106"/>
  <c r="M75" i="106" s="1"/>
  <c r="D48" i="17"/>
  <c r="D49" i="17" s="1"/>
  <c r="D55" i="17" s="1"/>
  <c r="D98" i="17" s="1"/>
  <c r="L16" i="208"/>
  <c r="I27" i="206"/>
  <c r="E22" i="206" s="1"/>
  <c r="H28" i="206"/>
  <c r="B15" i="131"/>
  <c r="B16" i="131" s="1"/>
  <c r="B18" i="131" s="1"/>
  <c r="B32" i="131" s="1"/>
  <c r="B39" i="131"/>
  <c r="S12" i="206"/>
  <c r="R13" i="206"/>
  <c r="M15" i="196"/>
  <c r="O16" i="196" s="1"/>
  <c r="D29" i="17"/>
  <c r="B59" i="170"/>
  <c r="B61" i="170" s="1"/>
  <c r="D35" i="163" s="1"/>
  <c r="D36" i="163" s="1"/>
  <c r="D46" i="163" s="1"/>
  <c r="D67" i="163" s="1"/>
  <c r="D14" i="207"/>
  <c r="D9" i="163"/>
  <c r="D14" i="201"/>
  <c r="D16" i="204"/>
  <c r="D14" i="17"/>
  <c r="D15" i="66"/>
  <c r="D16" i="84"/>
  <c r="B33" i="1"/>
  <c r="D14" i="90"/>
  <c r="D16" i="90" s="1"/>
  <c r="B35" i="2"/>
  <c r="D15" i="9"/>
  <c r="D17" i="9" s="1"/>
  <c r="D14" i="51"/>
  <c r="D15" i="107"/>
  <c r="D17" i="107" s="1"/>
  <c r="D27" i="107" s="1"/>
  <c r="D58" i="107" s="1"/>
  <c r="M15" i="6"/>
  <c r="O16" i="6" s="1"/>
  <c r="L16" i="6"/>
  <c r="M16" i="196"/>
  <c r="O17" i="196" s="1"/>
  <c r="F16" i="204"/>
  <c r="F16" i="84"/>
  <c r="F14" i="17"/>
  <c r="B60" i="1"/>
  <c r="F14" i="207"/>
  <c r="F9" i="163"/>
  <c r="B64" i="2"/>
  <c r="M15" i="203" l="1"/>
  <c r="O16" i="203" s="1"/>
  <c r="L16" i="203"/>
  <c r="D55" i="207"/>
  <c r="D98" i="207" s="1"/>
  <c r="F23" i="163"/>
  <c r="F22" i="163"/>
  <c r="F24" i="163" s="1"/>
  <c r="M15" i="36"/>
  <c r="O16" i="36" s="1"/>
  <c r="L16" i="36"/>
  <c r="L28" i="106"/>
  <c r="M28" i="106" s="1"/>
  <c r="M27" i="106"/>
  <c r="F28" i="17"/>
  <c r="F27" i="17"/>
  <c r="F29" i="17" s="1"/>
  <c r="C15" i="106"/>
  <c r="D15" i="106" s="1"/>
  <c r="D17" i="106" s="1"/>
  <c r="C166" i="106" s="1"/>
  <c r="B33" i="136"/>
  <c r="D15" i="163"/>
  <c r="D20" i="207"/>
  <c r="D21" i="207" s="1"/>
  <c r="D21" i="84"/>
  <c r="D22" i="84" s="1"/>
  <c r="D23" i="84" s="1"/>
  <c r="D19" i="90"/>
  <c r="D21" i="90" s="1"/>
  <c r="D21" i="204"/>
  <c r="D22" i="204" s="1"/>
  <c r="D23" i="204" s="1"/>
  <c r="D19" i="201"/>
  <c r="D20" i="17"/>
  <c r="D19" i="51"/>
  <c r="D20" i="66"/>
  <c r="D21" i="66" s="1"/>
  <c r="D22" i="66" s="1"/>
  <c r="D20" i="9"/>
  <c r="D22" i="9" s="1"/>
  <c r="B33" i="131"/>
  <c r="D17" i="204"/>
  <c r="D18" i="204" s="1"/>
  <c r="B65" i="2"/>
  <c r="F14" i="51"/>
  <c r="F16" i="17"/>
  <c r="F15" i="17"/>
  <c r="M16" i="6"/>
  <c r="O17" i="6" s="1"/>
  <c r="L17" i="6"/>
  <c r="M17" i="6" s="1"/>
  <c r="D28" i="9"/>
  <c r="D79" i="9" s="1"/>
  <c r="D17" i="84"/>
  <c r="D18" i="84" s="1"/>
  <c r="D15" i="201"/>
  <c r="D16" i="201" s="1"/>
  <c r="F11" i="163"/>
  <c r="F10" i="163"/>
  <c r="F17" i="84"/>
  <c r="F18" i="84" s="1"/>
  <c r="D16" i="66"/>
  <c r="D17" i="66" s="1"/>
  <c r="D10" i="163"/>
  <c r="D11" i="163"/>
  <c r="B42" i="131"/>
  <c r="B43" i="131" s="1"/>
  <c r="B45" i="131" s="1"/>
  <c r="B59" i="131" s="1"/>
  <c r="B41" i="131"/>
  <c r="F15" i="207"/>
  <c r="F28" i="207"/>
  <c r="F29" i="207" s="1"/>
  <c r="F17" i="204"/>
  <c r="F18" i="204" s="1"/>
  <c r="D24" i="90"/>
  <c r="D79" i="90" s="1"/>
  <c r="D84" i="90" s="1"/>
  <c r="D88" i="90" s="1"/>
  <c r="D16" i="17"/>
  <c r="D15" i="17"/>
  <c r="D17" i="17" s="1"/>
  <c r="D15" i="207"/>
  <c r="F16" i="207"/>
  <c r="D16" i="207"/>
  <c r="D28" i="207"/>
  <c r="D29" i="207" s="1"/>
  <c r="D22" i="207"/>
  <c r="L17" i="208"/>
  <c r="M17" i="208" s="1"/>
  <c r="O18" i="208" s="1"/>
  <c r="M16" i="208"/>
  <c r="O17" i="208" s="1"/>
  <c r="D15" i="51"/>
  <c r="D16" i="51" s="1"/>
  <c r="S13" i="206"/>
  <c r="D11" i="206" s="1"/>
  <c r="R14" i="206"/>
  <c r="F17" i="17" l="1"/>
  <c r="L17" i="36"/>
  <c r="M17" i="36" s="1"/>
  <c r="O18" i="36" s="1"/>
  <c r="M16" i="36"/>
  <c r="O17" i="36" s="1"/>
  <c r="D69" i="163"/>
  <c r="D61" i="107"/>
  <c r="C168" i="106"/>
  <c r="C170" i="106" s="1"/>
  <c r="C172" i="106" s="1"/>
  <c r="D30" i="84"/>
  <c r="D86" i="84" s="1"/>
  <c r="D30" i="204"/>
  <c r="D86" i="204" s="1"/>
  <c r="D12" i="163"/>
  <c r="L17" i="203"/>
  <c r="M17" i="203" s="1"/>
  <c r="M16" i="203"/>
  <c r="O17" i="203" s="1"/>
  <c r="D29" i="66"/>
  <c r="D81" i="66" s="1"/>
  <c r="D20" i="206"/>
  <c r="D22" i="206"/>
  <c r="E11" i="206"/>
  <c r="H10" i="206" s="1"/>
  <c r="D10" i="206"/>
  <c r="E10" i="206" s="1"/>
  <c r="D19" i="206"/>
  <c r="D17" i="207"/>
  <c r="H29" i="206"/>
  <c r="D20" i="201"/>
  <c r="D21" i="201" s="1"/>
  <c r="D24" i="201" s="1"/>
  <c r="D80" i="201" s="1"/>
  <c r="D85" i="201" s="1"/>
  <c r="D89" i="201" s="1"/>
  <c r="D23" i="207"/>
  <c r="F21" i="204"/>
  <c r="F19" i="51"/>
  <c r="F20" i="51" s="1"/>
  <c r="B60" i="131"/>
  <c r="F15" i="163"/>
  <c r="F20" i="207"/>
  <c r="F21" i="84"/>
  <c r="F20" i="17"/>
  <c r="F17" i="207"/>
  <c r="D16" i="163"/>
  <c r="D17" i="163"/>
  <c r="S14" i="206"/>
  <c r="R15" i="206"/>
  <c r="F12" i="163"/>
  <c r="D20" i="51"/>
  <c r="D21" i="51" s="1"/>
  <c r="D86" i="90"/>
  <c r="D90" i="90"/>
  <c r="O18" i="6"/>
  <c r="B12" i="6"/>
  <c r="F15" i="51"/>
  <c r="F16" i="51" s="1"/>
  <c r="D22" i="17"/>
  <c r="D21" i="17"/>
  <c r="D23" i="17" s="1"/>
  <c r="F17" i="209" l="1"/>
  <c r="E17" i="23"/>
  <c r="F17" i="23" s="1"/>
  <c r="B12" i="203"/>
  <c r="O18" i="203"/>
  <c r="D18" i="163"/>
  <c r="D91" i="201"/>
  <c r="D87" i="201"/>
  <c r="S15" i="206"/>
  <c r="R16" i="206"/>
  <c r="S16" i="206" s="1"/>
  <c r="F21" i="207"/>
  <c r="F22" i="207"/>
  <c r="F15" i="209"/>
  <c r="E15" i="23"/>
  <c r="F15" i="23" s="1"/>
  <c r="F17" i="163"/>
  <c r="F16" i="163"/>
  <c r="F21" i="17"/>
  <c r="F22" i="17"/>
  <c r="E19" i="206"/>
  <c r="E20" i="206"/>
  <c r="E21" i="206" s="1"/>
  <c r="D21" i="206"/>
  <c r="I31" i="206" s="1"/>
  <c r="B22" i="6"/>
  <c r="B16" i="6"/>
  <c r="B20" i="6"/>
  <c r="F21" i="51"/>
  <c r="D23" i="51" s="1"/>
  <c r="D78" i="51" s="1"/>
  <c r="D83" i="51" s="1"/>
  <c r="D87" i="51" s="1"/>
  <c r="B61" i="6" l="1"/>
  <c r="D34" i="66" s="1"/>
  <c r="D35" i="66" s="1"/>
  <c r="D42" i="66" s="1"/>
  <c r="D82" i="66" s="1"/>
  <c r="D86" i="66" s="1"/>
  <c r="D90" i="66" s="1"/>
  <c r="B22" i="203"/>
  <c r="B61" i="203" s="1"/>
  <c r="D35" i="204" s="1"/>
  <c r="D36" i="204" s="1"/>
  <c r="B20" i="203"/>
  <c r="B16" i="203"/>
  <c r="F23" i="17"/>
  <c r="D31" i="17" s="1"/>
  <c r="D97" i="17" s="1"/>
  <c r="D102" i="17" s="1"/>
  <c r="D106" i="17" s="1"/>
  <c r="D104" i="17" s="1"/>
  <c r="I17" i="209"/>
  <c r="G17" i="209"/>
  <c r="D89" i="51"/>
  <c r="D85" i="51"/>
  <c r="D30" i="206"/>
  <c r="F23" i="207"/>
  <c r="D31" i="207" s="1"/>
  <c r="D97" i="207" s="1"/>
  <c r="D102" i="207" s="1"/>
  <c r="D106" i="207" s="1"/>
  <c r="E31" i="206"/>
  <c r="E30" i="206"/>
  <c r="D31" i="206"/>
  <c r="I30" i="206"/>
  <c r="I32" i="206" s="1"/>
  <c r="I34" i="206" s="1"/>
  <c r="F18" i="163"/>
  <c r="D26" i="163" s="1"/>
  <c r="D66" i="163" s="1"/>
  <c r="I15" i="209"/>
  <c r="G15" i="209"/>
  <c r="F12" i="209"/>
  <c r="E12" i="23"/>
  <c r="F12" i="23" s="1"/>
  <c r="D51" i="107" l="1"/>
  <c r="D52" i="107" s="1"/>
  <c r="D54" i="107" s="1"/>
  <c r="D60" i="107" s="1"/>
  <c r="D63" i="107" s="1"/>
  <c r="D67" i="107" s="1"/>
  <c r="D69" i="107" s="1"/>
  <c r="D50" i="9"/>
  <c r="D51" i="9" s="1"/>
  <c r="D53" i="9" s="1"/>
  <c r="D81" i="9" s="1"/>
  <c r="D84" i="9" s="1"/>
  <c r="D88" i="9" s="1"/>
  <c r="D35" i="84"/>
  <c r="D36" i="84" s="1"/>
  <c r="D46" i="84" s="1"/>
  <c r="D87" i="84" s="1"/>
  <c r="D91" i="84" s="1"/>
  <c r="D95" i="84" s="1"/>
  <c r="D97" i="84" s="1"/>
  <c r="D65" i="107"/>
  <c r="D71" i="163"/>
  <c r="I66" i="163" s="1"/>
  <c r="D92" i="66"/>
  <c r="D88" i="66"/>
  <c r="D104" i="207"/>
  <c r="D108" i="207"/>
  <c r="F7" i="209"/>
  <c r="E7" i="23"/>
  <c r="F7" i="23" s="1"/>
  <c r="I12" i="209"/>
  <c r="G12" i="209"/>
  <c r="D86" i="9"/>
  <c r="D90" i="9"/>
  <c r="F8" i="209"/>
  <c r="E8" i="23"/>
  <c r="F8" i="23" s="1"/>
  <c r="D93" i="84"/>
  <c r="E32" i="206"/>
  <c r="E34" i="206" s="1"/>
  <c r="D32" i="206"/>
  <c r="D34" i="206" s="1"/>
  <c r="D39" i="204" s="1"/>
  <c r="D40" i="204" s="1"/>
  <c r="D46" i="204" s="1"/>
  <c r="D87" i="204" s="1"/>
  <c r="D91" i="204" s="1"/>
  <c r="D95" i="204" s="1"/>
  <c r="D97" i="204" l="1"/>
  <c r="D93" i="204"/>
  <c r="F16" i="209"/>
  <c r="E16" i="23"/>
  <c r="F16" i="23" s="1"/>
  <c r="I68" i="163"/>
  <c r="D75" i="163"/>
  <c r="D82" i="163"/>
  <c r="D83" i="163" s="1"/>
  <c r="I67" i="163"/>
  <c r="G8" i="209"/>
  <c r="I8" i="209"/>
  <c r="F13" i="209"/>
  <c r="E13" i="23"/>
  <c r="F13" i="23" s="1"/>
  <c r="F9" i="209"/>
  <c r="E9" i="23"/>
  <c r="F9" i="23" s="1"/>
  <c r="I7" i="209"/>
  <c r="G7" i="209"/>
  <c r="F11" i="209"/>
  <c r="E11" i="23"/>
  <c r="F11" i="23" s="1"/>
  <c r="F14" i="209"/>
  <c r="E14" i="23"/>
  <c r="F14" i="23" s="1"/>
  <c r="I14" i="209" l="1"/>
  <c r="G14" i="209"/>
  <c r="G16" i="209"/>
  <c r="I16" i="209"/>
  <c r="I13" i="209"/>
  <c r="G13" i="209"/>
  <c r="I11" i="209"/>
  <c r="G11" i="209"/>
  <c r="G9" i="209"/>
  <c r="I9" i="209"/>
  <c r="D77" i="163"/>
  <c r="D73" i="163"/>
  <c r="F10" i="209"/>
  <c r="E10" i="23"/>
  <c r="F10" i="23" s="1"/>
  <c r="F19" i="23" s="1"/>
  <c r="F28" i="23" l="1"/>
  <c r="F20" i="23"/>
  <c r="I10" i="209"/>
  <c r="I19" i="209" s="1"/>
  <c r="G10" i="209"/>
  <c r="G19" i="209" s="1"/>
  <c r="G20" i="209" l="1"/>
  <c r="G28" i="209"/>
  <c r="B30" i="72"/>
</calcChain>
</file>

<file path=xl/sharedStrings.xml><?xml version="1.0" encoding="utf-8"?>
<sst xmlns="http://schemas.openxmlformats.org/spreadsheetml/2006/main" count="3262" uniqueCount="688">
  <si>
    <t>COMPOSIÇÃO DE PREÇOS UNITÁRIOS</t>
  </si>
  <si>
    <t>A - MÃO DE OBRA</t>
  </si>
  <si>
    <t xml:space="preserve">   A1 - Salário Mensal do Coletor</t>
  </si>
  <si>
    <t xml:space="preserve">   A2 - Insalubridade (40%)</t>
  </si>
  <si>
    <t xml:space="preserve">   A3 - Subtotal</t>
  </si>
  <si>
    <t xml:space="preserve">   A4 - Encargos Sociais (Em %)</t>
  </si>
  <si>
    <t xml:space="preserve">   A5 - CUSTO MENSAL COM MÃO-DE-OBRA</t>
  </si>
  <si>
    <t xml:space="preserve">   </t>
  </si>
  <si>
    <t xml:space="preserve"> </t>
  </si>
  <si>
    <t>C - CUSTO DIRETO MENSAL</t>
  </si>
  <si>
    <t xml:space="preserve">   A2 - Insalubridade (20%)</t>
  </si>
  <si>
    <t>B1 - DEPRECIAÇÃO</t>
  </si>
  <si>
    <t xml:space="preserve">   B1.1 - Preço de Aquisição </t>
  </si>
  <si>
    <t xml:space="preserve">   B1.3 - Valor Residual (Em Percentual)</t>
  </si>
  <si>
    <t xml:space="preserve">B2 - CUSTO DO CAPITAL IMOBILIZADO </t>
  </si>
  <si>
    <t>A - DEPRECIAÇÃO</t>
  </si>
  <si>
    <t xml:space="preserve">   A2 - Vida Útil do Equipamento (Em meses)</t>
  </si>
  <si>
    <t xml:space="preserve">   A3 - Valor Residual (Em Percentual)</t>
  </si>
  <si>
    <t xml:space="preserve">B - CUSTO DO CAPITAL IMOBILIZADO </t>
  </si>
  <si>
    <t xml:space="preserve">   B1 - Custo de Aquisição</t>
  </si>
  <si>
    <t xml:space="preserve">   B2 - Taxa de Juros Mensal</t>
  </si>
  <si>
    <t xml:space="preserve">   B3 - CUSTO MENSAL COM JUROS</t>
  </si>
  <si>
    <t>C - COMBUSTÍVEL</t>
  </si>
  <si>
    <t xml:space="preserve">   C1 - Preço de Um Litro de Óleo Diesel</t>
  </si>
  <si>
    <t xml:space="preserve">   C3 - Número de Km Rodados com Um Litro</t>
  </si>
  <si>
    <t xml:space="preserve">   C4 - CUSTO COM COMBUSTÍVEL MENSAL</t>
  </si>
  <si>
    <t>D - PNEUS</t>
  </si>
  <si>
    <t xml:space="preserve">   D2 - Kilometros Rodados Com um Rodízio</t>
  </si>
  <si>
    <t xml:space="preserve">   D4 - CUSTO COM PNEUS E CÂMARAS</t>
  </si>
  <si>
    <t>E - MANUTENÇÃO</t>
  </si>
  <si>
    <t xml:space="preserve">   E1 - Custo de Manutenção na Vida Útil (Em %)</t>
  </si>
  <si>
    <t xml:space="preserve">   E2 - Custo do Equipamento</t>
  </si>
  <si>
    <t xml:space="preserve">   E3 - Vida Útil do Equipamento (Em Meses)</t>
  </si>
  <si>
    <t xml:space="preserve">   E4 - CUSTO DE MANUTENÇÃO POR MES</t>
  </si>
  <si>
    <t>1.0 - CUSTO DA MÃO DE OBRA</t>
  </si>
  <si>
    <t>un</t>
  </si>
  <si>
    <t>R$/unidade</t>
  </si>
  <si>
    <t>R$</t>
  </si>
  <si>
    <t>Fiscal/Encarregado</t>
  </si>
  <si>
    <t>valor mensal de um fiscal</t>
  </si>
  <si>
    <t>total mensal com fiscal</t>
  </si>
  <si>
    <t>Quantidade</t>
  </si>
  <si>
    <t>Subtotal</t>
  </si>
  <si>
    <t>R$/mes</t>
  </si>
  <si>
    <t>3.0 RESUMO DOS CUSTOS</t>
  </si>
  <si>
    <t>Km</t>
  </si>
  <si>
    <t>valor mensal de um coletor</t>
  </si>
  <si>
    <t>Total de coletores</t>
  </si>
  <si>
    <t>Total de Fiscal/Encarregados</t>
  </si>
  <si>
    <t>Motorista</t>
  </si>
  <si>
    <t>valor mensal de um motorista</t>
  </si>
  <si>
    <t>total mensal com motorista</t>
  </si>
  <si>
    <t>Total de Motoristas</t>
  </si>
  <si>
    <t>valor mensal de um veículo</t>
  </si>
  <si>
    <t>Total com caçambas</t>
  </si>
  <si>
    <t>meses</t>
  </si>
  <si>
    <t>Amortização mensal</t>
  </si>
  <si>
    <t>Juros do capital para aquisição</t>
  </si>
  <si>
    <t>Equipamentos</t>
  </si>
  <si>
    <t>PREÇO</t>
  </si>
  <si>
    <t>ITEM</t>
  </si>
  <si>
    <t>DESCRIÇÃO DOS SERVIÇOS</t>
  </si>
  <si>
    <t>QUANT.</t>
  </si>
  <si>
    <t>UNID.</t>
  </si>
  <si>
    <t>UNITÁRIO</t>
  </si>
  <si>
    <t>TOTAL</t>
  </si>
  <si>
    <t>4.0 RESUMO DOS CUSTOS</t>
  </si>
  <si>
    <t>Ferramentas</t>
  </si>
  <si>
    <t>Mão de obra</t>
  </si>
  <si>
    <t>Sub - total</t>
  </si>
  <si>
    <t>Prazo do contrato em meses</t>
  </si>
  <si>
    <t>R$/Mês</t>
  </si>
  <si>
    <t>Taxa de juros mensais</t>
  </si>
  <si>
    <t>-</t>
  </si>
  <si>
    <t>F - CUSTO COM LAVAGEM E LUBRIFICAÇÃO</t>
  </si>
  <si>
    <t xml:space="preserve">   F1 -  Óleo de Motor</t>
  </si>
  <si>
    <t xml:space="preserve">   F2 - Óleo de Transmissão</t>
  </si>
  <si>
    <t xml:space="preserve">   F3 - Óleo Hidraúlico</t>
  </si>
  <si>
    <t xml:space="preserve">   F4 - Graxa</t>
  </si>
  <si>
    <t xml:space="preserve">   F6 - Filtros ( 15 % do Valor Total )</t>
  </si>
  <si>
    <t xml:space="preserve">   F7 - CUSTO C/ LAVAGEM E LUBRIFICAÇÃO MENSAL</t>
  </si>
  <si>
    <t>G - CUSTO COM LICENCIAMENTO</t>
  </si>
  <si>
    <t xml:space="preserve">   G3 - CUSTO COM LICENCIAMENTO</t>
  </si>
  <si>
    <t>H - CUSTO DIRETO MENSAL</t>
  </si>
  <si>
    <t>3.0 - FERRAMENTAS</t>
  </si>
  <si>
    <t>Lutocar</t>
  </si>
  <si>
    <t>R$/Km</t>
  </si>
  <si>
    <t>2.0 - EQUIPAMENTOS</t>
  </si>
  <si>
    <t>Coletor</t>
  </si>
  <si>
    <t>2.0 - FERRAMENTAS</t>
  </si>
  <si>
    <t>B - FARDAMENTO / ALIMENTAÇÃO</t>
  </si>
  <si>
    <t>total mensal com coletor</t>
  </si>
  <si>
    <t>Total de Coletor</t>
  </si>
  <si>
    <t>Total com compactador</t>
  </si>
  <si>
    <t xml:space="preserve">   D1 - Preço de um rodízio de pneus ( 6 pneus completos)</t>
  </si>
  <si>
    <t>Varredor</t>
  </si>
  <si>
    <t>Item</t>
  </si>
  <si>
    <t>Descrição</t>
  </si>
  <si>
    <t>Garfo</t>
  </si>
  <si>
    <t>Gadanho</t>
  </si>
  <si>
    <t>Vassourão</t>
  </si>
  <si>
    <t>Enxada</t>
  </si>
  <si>
    <t>Cone</t>
  </si>
  <si>
    <t>Balde/brocha</t>
  </si>
  <si>
    <t>Foice</t>
  </si>
  <si>
    <t>Chibanca</t>
  </si>
  <si>
    <t>Ciscador</t>
  </si>
  <si>
    <t>Estrovenga</t>
  </si>
  <si>
    <t>Sacos 100l</t>
  </si>
  <si>
    <t>Colete Refletivo</t>
  </si>
  <si>
    <t>Carro de mao</t>
  </si>
  <si>
    <t>Cone (grande)</t>
  </si>
  <si>
    <t xml:space="preserve">   B1 - Fardamento Mensal </t>
  </si>
  <si>
    <t xml:space="preserve">Pá </t>
  </si>
  <si>
    <t>unid</t>
  </si>
  <si>
    <t>Kg</t>
  </si>
  <si>
    <t xml:space="preserve">Garfo </t>
  </si>
  <si>
    <t xml:space="preserve">Vassourão </t>
  </si>
  <si>
    <t xml:space="preserve">Gadanho </t>
  </si>
  <si>
    <t xml:space="preserve">Enxada </t>
  </si>
  <si>
    <t>Carro de mão</t>
  </si>
  <si>
    <t xml:space="preserve">Chibanca </t>
  </si>
  <si>
    <t xml:space="preserve">Ciscador </t>
  </si>
  <si>
    <t xml:space="preserve">Estrovenga </t>
  </si>
  <si>
    <t xml:space="preserve">Cone </t>
  </si>
  <si>
    <t>Cal/hidracor</t>
  </si>
  <si>
    <t xml:space="preserve">Foice </t>
  </si>
  <si>
    <t>Pá</t>
  </si>
  <si>
    <t>kg</t>
  </si>
  <si>
    <t xml:space="preserve">Balde/brocha </t>
  </si>
  <si>
    <t xml:space="preserve">Cal/hidracor </t>
  </si>
  <si>
    <t>R$/mês</t>
  </si>
  <si>
    <t>Vida útil em meses</t>
  </si>
  <si>
    <t>Adicional de domingos e feriados</t>
  </si>
  <si>
    <t xml:space="preserve">   B1 - Fardamento Mensal</t>
  </si>
  <si>
    <t xml:space="preserve">   B.3.1 - Preço de Um Litro de Gasolina</t>
  </si>
  <si>
    <t xml:space="preserve">   B.3.3 - Número de Km Rodados com Um Litro</t>
  </si>
  <si>
    <t xml:space="preserve">   B.3.4 - CUSTO COM COMBUSTÍVEL MENSAL</t>
  </si>
  <si>
    <t xml:space="preserve">   B.4.2 - Kilometros Rodados Com um Rodízio</t>
  </si>
  <si>
    <t xml:space="preserve">   B.4.4 - CUSTO COM PNEUS E CÂMARAS</t>
  </si>
  <si>
    <t>B3 - COMBUSTÍVEL</t>
  </si>
  <si>
    <t>B4 - PNEUS</t>
  </si>
  <si>
    <t>B5 - MANUTENÇÃO</t>
  </si>
  <si>
    <t xml:space="preserve">   B.5.1 - Custo de Manutenção na Vida Útil (Em %)</t>
  </si>
  <si>
    <t xml:space="preserve">   B.5.2 - Custo do Equipamento</t>
  </si>
  <si>
    <t xml:space="preserve">   B.5.3 - Vida Útil do Equipamento (Em Meses)</t>
  </si>
  <si>
    <t xml:space="preserve">   B.5.4 - CUSTO DE MANUTENÇÃO POR MES</t>
  </si>
  <si>
    <t>B6 - CUSTO COM LICENCIAMENTO</t>
  </si>
  <si>
    <t xml:space="preserve">   B.6.3 - CUSTO COM LICENCIAMENTO</t>
  </si>
  <si>
    <t>B7 - CUSTO DIRETO MENSAL P/ VEICULO</t>
  </si>
  <si>
    <t>2.0 - CUSTO DO LUTOCAR / SACOS PLÁSTICOS</t>
  </si>
  <si>
    <t xml:space="preserve">   A1 - Preço de Aquisição (CHASSIS + CAÇAMBA)</t>
  </si>
  <si>
    <t xml:space="preserve">   G2 - IPVA/Seguro Obrigatório</t>
  </si>
  <si>
    <t xml:space="preserve">   G1 - SEGURO</t>
  </si>
  <si>
    <t xml:space="preserve">   A1 - Preço de Aquisição (CHASSIS + COMPACTADOR)</t>
  </si>
  <si>
    <t>COMPOSIÇÃO AUXILIAR - AGENTE DE VARRIÇÃO, CAPINAÇÃO E SERVIÇOS</t>
  </si>
  <si>
    <t xml:space="preserve">   B.6.1 - SEGURO</t>
  </si>
  <si>
    <t>COMPOSIÇÃO AUXILIAR - COLETOR (TURNO NOTURNO)</t>
  </si>
  <si>
    <t xml:space="preserve">          B1.1 - Fardamento completo</t>
  </si>
  <si>
    <t xml:space="preserve">          B1.3 - Luvas </t>
  </si>
  <si>
    <t xml:space="preserve">          B1.4 - Colete refletivo </t>
  </si>
  <si>
    <t>diurno</t>
  </si>
  <si>
    <t>noturno</t>
  </si>
  <si>
    <t>3.0 - FERRAMENTAS/ INSUMOS</t>
  </si>
  <si>
    <t>13</t>
  </si>
  <si>
    <t>14</t>
  </si>
  <si>
    <t>15</t>
  </si>
  <si>
    <t>16</t>
  </si>
  <si>
    <t>17</t>
  </si>
  <si>
    <t>18</t>
  </si>
  <si>
    <t>Agente de capinação</t>
  </si>
  <si>
    <t>Papeleiras</t>
  </si>
  <si>
    <t>Lutocar/ sacos</t>
  </si>
  <si>
    <t>Caminhão compactador 15 m³</t>
  </si>
  <si>
    <t xml:space="preserve">          B2.1 - Café da manhã</t>
  </si>
  <si>
    <t xml:space="preserve">          B2.2 - Cesta Básica</t>
  </si>
  <si>
    <t xml:space="preserve">   A1 - Salário Mensal do Motorista</t>
  </si>
  <si>
    <t xml:space="preserve">   B3 - Vale transporte</t>
  </si>
  <si>
    <t>Caçamba basculante e/ ou carroceria</t>
  </si>
  <si>
    <t xml:space="preserve">                                          CORRELATOS</t>
  </si>
  <si>
    <t xml:space="preserve">   A1 - Salário Mensal do Agente</t>
  </si>
  <si>
    <t xml:space="preserve">                                          CORRELATOS (TURNO NOTURNO)</t>
  </si>
  <si>
    <t xml:space="preserve">   A1 - Salário Mensal do Encarregado</t>
  </si>
  <si>
    <t xml:space="preserve">   A3 - Adicional noturno </t>
  </si>
  <si>
    <t xml:space="preserve">   A4 - Subtotal</t>
  </si>
  <si>
    <t xml:space="preserve">   A5 - Encargos Sociais (Em %)</t>
  </si>
  <si>
    <t xml:space="preserve">   A6 - CUSTO MENSAL COM MÃO-DE-OBRA</t>
  </si>
  <si>
    <t xml:space="preserve">   F1 - Óleo de Motor</t>
  </si>
  <si>
    <t>Total  Mensal</t>
  </si>
  <si>
    <t>TOTAL CUSTO DE MÃO-DE-OBRA</t>
  </si>
  <si>
    <t>TOTAL EQUIPAMENTOS/SACOS PLÁSTICOS</t>
  </si>
  <si>
    <t>TOTAL FERRAMENTAS</t>
  </si>
  <si>
    <t>TOTAL PAPELEIRAS</t>
  </si>
  <si>
    <t>CUSTO TOTAL</t>
  </si>
  <si>
    <t>4 - PAPELEIRAS</t>
  </si>
  <si>
    <t>EDITAL DE DE CONCORRÊNCIA N° 001/05</t>
  </si>
  <si>
    <t>TOTAL CUSTO EQUIPAMENTOS</t>
  </si>
  <si>
    <t>TOTAL FERRAMENTAS/INSUMOS</t>
  </si>
  <si>
    <t xml:space="preserve">   A2 - Insalubridade </t>
  </si>
  <si>
    <t>TOTAL DE MÃO DE OBRA</t>
  </si>
  <si>
    <t>TOTAL EQUIPAMENTOS</t>
  </si>
  <si>
    <t>8.0  CUSTO/ UNIDADE</t>
  </si>
  <si>
    <t>9.0  Unidade mensal</t>
  </si>
  <si>
    <t>10.0 Custo/unid</t>
  </si>
  <si>
    <t>TOTAL DA MÃO DE OBRA</t>
  </si>
  <si>
    <t>TOTAL DE FERRAMENTAS</t>
  </si>
  <si>
    <t>Fardas (Fiscal / Encarregado)</t>
  </si>
  <si>
    <t>Fardas (Auxiliares / Coletores)</t>
  </si>
  <si>
    <t>Sapatos (Auxiliares / Coletores)</t>
  </si>
  <si>
    <t>Sapatos (Fiscal / Encarregado)</t>
  </si>
  <si>
    <t xml:space="preserve">          B1.2 - Calçado Tipo Tênis</t>
  </si>
  <si>
    <t xml:space="preserve">          B1.2 - Calçado </t>
  </si>
  <si>
    <t xml:space="preserve">   B1.2 - Vida Útil do Equipamento </t>
  </si>
  <si>
    <t>R$/l</t>
  </si>
  <si>
    <t>Km/l</t>
  </si>
  <si>
    <t>Km/mês</t>
  </si>
  <si>
    <t xml:space="preserve">   B2 - Alimentação (Café da manhã)</t>
  </si>
  <si>
    <t>Preço mensal</t>
  </si>
  <si>
    <t>Número de conjuntos</t>
  </si>
  <si>
    <t>Roçadeira costal (c/ combustível)</t>
  </si>
  <si>
    <t>Luvas plásticas</t>
  </si>
  <si>
    <t>Luvas de tecido</t>
  </si>
  <si>
    <t>Data: 12/09/06</t>
  </si>
  <si>
    <t xml:space="preserve">   B.4.1 - Preço de um rodízio de pneus </t>
  </si>
  <si>
    <t>Total</t>
  </si>
  <si>
    <t>R$/m3</t>
  </si>
  <si>
    <t>PREFEITURA MUNICIPAL DE SALGUEIRO</t>
  </si>
  <si>
    <t xml:space="preserve">EDITAL DE DE CONCORRÊNCIA N°    </t>
  </si>
  <si>
    <t xml:space="preserve">EDITAL DE DE CONCORRÊNCIA N° </t>
  </si>
  <si>
    <t>TOTAL GERAL</t>
  </si>
  <si>
    <t>t/mês</t>
  </si>
  <si>
    <t>DISCRIMINAÇÃO</t>
  </si>
  <si>
    <t>%</t>
  </si>
  <si>
    <t>GRUPO A (básicos)</t>
  </si>
  <si>
    <t xml:space="preserve">   A5 - CUSTO MENSAL</t>
  </si>
  <si>
    <t xml:space="preserve">   A4 - Valor Residual (R$)</t>
  </si>
  <si>
    <t>Chassis</t>
  </si>
  <si>
    <t>caçamba</t>
  </si>
  <si>
    <t>compactador</t>
  </si>
  <si>
    <t xml:space="preserve">   B2 - Alimentação </t>
  </si>
  <si>
    <t>C - VEÍCULO COM CARROCERIA</t>
  </si>
  <si>
    <t>C1 - DEPRECIAÇÃO</t>
  </si>
  <si>
    <t xml:space="preserve">   C1.1 - Preço de Aquisição </t>
  </si>
  <si>
    <t xml:space="preserve">   C1.2 - Vida Útil do Equipamento </t>
  </si>
  <si>
    <t xml:space="preserve">   C1.3 - Valor Residual (Em Percentual)</t>
  </si>
  <si>
    <t xml:space="preserve">C2 - CUSTO DO CAPITAL IMOBILIZADO </t>
  </si>
  <si>
    <t xml:space="preserve">   C2.1 - Custo de Aquisição</t>
  </si>
  <si>
    <t xml:space="preserve">   C2.3 - CUSTO MENSAL COM JUROS</t>
  </si>
  <si>
    <t>C3 - COMBUSTÍVEL</t>
  </si>
  <si>
    <t xml:space="preserve">   C.3.1 - Preço de Um Litro de Gasolina</t>
  </si>
  <si>
    <t xml:space="preserve">   C.3.3 - Número de Km Rodados com Um Litro</t>
  </si>
  <si>
    <t xml:space="preserve">   C.3.4 - CUSTO COM COMBUSTÍVEL MENSAL</t>
  </si>
  <si>
    <t>C4 - PNEUS</t>
  </si>
  <si>
    <t xml:space="preserve">   C.4.1 - Preço de um rodízio de pneus </t>
  </si>
  <si>
    <t xml:space="preserve">   C.4.2 - Kilometros Rodados Com um Rodízio</t>
  </si>
  <si>
    <t xml:space="preserve">   C.4.4 - CUSTO COM PNEUS E CÂMARAS</t>
  </si>
  <si>
    <t>C5 - MANUTENÇÃO</t>
  </si>
  <si>
    <t xml:space="preserve">   C.5.1 - Custo de Manutenção na Vida Útil (Em %)</t>
  </si>
  <si>
    <t xml:space="preserve">   C.5.2 - Custo do Equipamento</t>
  </si>
  <si>
    <t xml:space="preserve">   C.5.3 - Vida Útil do Equipamento (Em Meses)</t>
  </si>
  <si>
    <t xml:space="preserve">   C.5.4 - CUSTO DE MANUTENÇÃO POR MES</t>
  </si>
  <si>
    <t>C6 - CUSTO COM LICENCIAMENTO</t>
  </si>
  <si>
    <t xml:space="preserve">   C.6.1 - SEGURO</t>
  </si>
  <si>
    <t xml:space="preserve">   C.6.2 -  IPVA/Seguro Obrigatório</t>
  </si>
  <si>
    <t xml:space="preserve">   C.6.3 - CUSTO COM LICENCIAMENTO</t>
  </si>
  <si>
    <t>C7 - CUSTO DIRETO MENSAL P/ VEICULO</t>
  </si>
  <si>
    <t>D - MOTOS</t>
  </si>
  <si>
    <t>D1 - DEPRECIAÇÃO</t>
  </si>
  <si>
    <t xml:space="preserve">   D1.1 - Preço de Aquisição </t>
  </si>
  <si>
    <t xml:space="preserve">   D1.2 - Vida Útil do Equipamento </t>
  </si>
  <si>
    <t xml:space="preserve">   D1.3 - Valor Residual (Em Percentual)</t>
  </si>
  <si>
    <t xml:space="preserve">   D1.4 - CUSTO DE PROPRIEDADE MENSAL</t>
  </si>
  <si>
    <t xml:space="preserve">   B1.4 - CUSTO DE PROPRIEDADE MENSAL</t>
  </si>
  <si>
    <t xml:space="preserve">   C1.4 - CUSTO DE PROPRIEDADE MENSAL</t>
  </si>
  <si>
    <t xml:space="preserve">D2 - CUSTO DO CAPITAL IMOBILIZADO </t>
  </si>
  <si>
    <t xml:space="preserve">   D2.1 - Custo de Aquisição</t>
  </si>
  <si>
    <t xml:space="preserve">   D2.3 - CUSTO MENSAL COM JUROS</t>
  </si>
  <si>
    <t>D3 - COMBUSTÍVEL</t>
  </si>
  <si>
    <t xml:space="preserve">   D.3.1 - Preço de Um Litro de Gasolina</t>
  </si>
  <si>
    <t xml:space="preserve">   D.3.3 - Número de Km Rodados com Um Litro</t>
  </si>
  <si>
    <t xml:space="preserve">   D.3.4 - CUSTO COM COMBUSTÍVEL MENSAL</t>
  </si>
  <si>
    <t>D4 - PNEUS</t>
  </si>
  <si>
    <t xml:space="preserve">   D.4.1 - Preço de um rodízio de pneus </t>
  </si>
  <si>
    <t xml:space="preserve">   D.4.2 - Kilometros Rodados Com um Rodízio</t>
  </si>
  <si>
    <t xml:space="preserve">   D.4.4 - CUSTO COM PNEUS E CÂMARAS</t>
  </si>
  <si>
    <t>D5 - MANUTENÇÃO</t>
  </si>
  <si>
    <t xml:space="preserve">   D.5.1 - Custo de Manutenção na Vida Útil (Em %)</t>
  </si>
  <si>
    <t xml:space="preserve">   D.5.2 - Custo do Equipamento</t>
  </si>
  <si>
    <t xml:space="preserve">   D.5.3 - Vida Útil do Equipamento (Em Meses)</t>
  </si>
  <si>
    <t xml:space="preserve">   D.5.4 - CUSTO DE MANUTENÇÃO POR MES</t>
  </si>
  <si>
    <t>D6 - CUSTO COM LICENCIAMENTO</t>
  </si>
  <si>
    <t xml:space="preserve">   D.6.1 - SEGURO</t>
  </si>
  <si>
    <t xml:space="preserve">   D.6.2 -  IPVA/Seguro Obrigatório</t>
  </si>
  <si>
    <t xml:space="preserve">   D.6.3 - CUSTO COM LICENCIAMENTO</t>
  </si>
  <si>
    <t>D7 - CUSTO DIRETO MENSAL P/ VEICULO</t>
  </si>
  <si>
    <t>Poliguindaste</t>
  </si>
  <si>
    <t>Trator</t>
  </si>
  <si>
    <t>Total com poliguindaste</t>
  </si>
  <si>
    <t>Total com trator</t>
  </si>
  <si>
    <t>COMPOSIÇÃO AUXILIAR - CAMINHÃO BASCULANTE 6 M³</t>
  </si>
  <si>
    <t>Facão</t>
  </si>
  <si>
    <t xml:space="preserve">Caçamba basculante para 6 m³ </t>
  </si>
  <si>
    <t xml:space="preserve">TOTAL DE EQUIPAMENTOS </t>
  </si>
  <si>
    <t xml:space="preserve">4.0 - CUSTO EQUPAMENTOS  </t>
  </si>
  <si>
    <t>caminhão e pessoal</t>
  </si>
  <si>
    <t>Caminhão caçamba basculante 6 m3</t>
  </si>
  <si>
    <t>Total com caçamba 6 m3</t>
  </si>
  <si>
    <t>R$/h</t>
  </si>
  <si>
    <t>h</t>
  </si>
  <si>
    <t>8.0  Unidade mensal</t>
  </si>
  <si>
    <t>9.0 Custo/unid</t>
  </si>
  <si>
    <t xml:space="preserve">   A2 - Insalubridade</t>
  </si>
  <si>
    <t xml:space="preserve">   A3 - Adcional noturno</t>
  </si>
  <si>
    <t>D - CUSTO HORÁRIO</t>
  </si>
  <si>
    <t>3.0 - CUSTO VEÍCULOS</t>
  </si>
  <si>
    <t>Caminhão Pipa</t>
  </si>
  <si>
    <t>Custo horário</t>
  </si>
  <si>
    <t>Total do caminhão pipa</t>
  </si>
  <si>
    <t>Valor mensal de um varredor</t>
  </si>
  <si>
    <t>Total mensal com varredor</t>
  </si>
  <si>
    <t>Total mensal com fiscal</t>
  </si>
  <si>
    <t>Valor mensal de um fiscal</t>
  </si>
  <si>
    <t>Triturador de galhos</t>
  </si>
  <si>
    <t>Valor mensal do equipamento</t>
  </si>
  <si>
    <t>Total do equipamento</t>
  </si>
  <si>
    <t>um</t>
  </si>
  <si>
    <t>1 - Varrição de vias urbanas pavimentadas</t>
  </si>
  <si>
    <t>Pintura de meio-fio</t>
  </si>
  <si>
    <t>Valor mensal de um gari</t>
  </si>
  <si>
    <t>Valor mensal de um veículo</t>
  </si>
  <si>
    <t>1. Previdência Social</t>
  </si>
  <si>
    <t>2. FGTS</t>
  </si>
  <si>
    <t>6. INCRA</t>
  </si>
  <si>
    <t>7. Salário-educação</t>
  </si>
  <si>
    <t>8. Seguro contra riscos e acidentes</t>
  </si>
  <si>
    <t>2. Auxílio enfermidade (&lt; 15 dias)</t>
  </si>
  <si>
    <t>2. 13º salário</t>
  </si>
  <si>
    <t>5. Indenização adicional</t>
  </si>
  <si>
    <r>
      <t>COMPOSIÇÃO AUXILIAR - CAMINHÃO COMPACTADOR - 15 m</t>
    </r>
    <r>
      <rPr>
        <b/>
        <vertAlign val="superscript"/>
        <sz val="10"/>
        <color indexed="8"/>
        <rFont val="Calibri"/>
        <family val="2"/>
      </rPr>
      <t>3</t>
    </r>
  </si>
  <si>
    <t>Valor mensal de um agente de capinação</t>
  </si>
  <si>
    <t>Roçadeira</t>
  </si>
  <si>
    <t>Custo direto</t>
  </si>
  <si>
    <t>GRUPO E</t>
  </si>
  <si>
    <t>Capinação e raspagem de vias pavimentadas</t>
  </si>
  <si>
    <t>B - VEÍCULO LEVE</t>
  </si>
  <si>
    <t>B8 - VALOR TOTAL DO ITEM</t>
  </si>
  <si>
    <t>C8 - VALOR TOTAL DO ITEM</t>
  </si>
  <si>
    <t>D8 - VALOR TOTAL DO ITEM</t>
  </si>
  <si>
    <t>E -  INSTALAÇÕES</t>
  </si>
  <si>
    <t xml:space="preserve">   E0 - Aluguel de Escritório/Garagem/Alojamentos</t>
  </si>
  <si>
    <t>COMPOSIÇÃO AUXILIAR - AGENTE DE LIMPEZA DE COLETA</t>
  </si>
  <si>
    <t>COMPOSIÇÃO AUXILIAR - AGENTE DE LIMPEZA VARRIÇÃO, CAPINAÇÃO E SERVIÇOS</t>
  </si>
  <si>
    <t>COMPOSIÇÃO AUXILIAR - AUXILIAR ADMINISTRATIVO I</t>
  </si>
  <si>
    <t xml:space="preserve">COMPOSIÇÃO AUXILIAR -  GERENTE I </t>
  </si>
  <si>
    <t>COMPOSIÇÃO AUXILIAR - VIGIA</t>
  </si>
  <si>
    <t xml:space="preserve">COMPOSIÇÃO AUXILIAR - ENCARREGADO DE TURMA </t>
  </si>
  <si>
    <t>Encarregado</t>
  </si>
  <si>
    <t>Auxiliar administrativo</t>
  </si>
  <si>
    <t>Vigia</t>
  </si>
  <si>
    <t>CUSTO MENSAL COM MÃO-DE -OBRA</t>
  </si>
  <si>
    <t>COMPOSIÇÃO AUXILIAR - MOTORISTA/OPERADOR</t>
  </si>
  <si>
    <t>COMPOSIÇÃO AUXILIAR - MOTORISTA / OPERADOR (NOTURNO)</t>
  </si>
  <si>
    <t>5.0  CUSTO/ UNIDADE</t>
  </si>
  <si>
    <t>6.0  Unidade mensal</t>
  </si>
  <si>
    <t>7.0 Custo/unid</t>
  </si>
  <si>
    <t xml:space="preserve">   A1 - Salário Mensal do Gerente</t>
  </si>
  <si>
    <t xml:space="preserve">   A1 - Salário Mensal do Auxiliar Administrativo</t>
  </si>
  <si>
    <t xml:space="preserve">   A1 - Salário Mensal do Vigia</t>
  </si>
  <si>
    <t xml:space="preserve">   C.4.3 - Kilometros Rodados num Mes 60 x 26</t>
  </si>
  <si>
    <t xml:space="preserve">   B1 + B2 + B3 + B4  - CUSTO MENSAL </t>
  </si>
  <si>
    <t xml:space="preserve">   B2 - Alimentação</t>
  </si>
  <si>
    <t xml:space="preserve">          B1.2 - Calçado</t>
  </si>
  <si>
    <r>
      <t>Cálculo do BDI conforme Acórdão do TCU n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2.369/2011 - Plenário </t>
    </r>
  </si>
  <si>
    <t>Itens</t>
  </si>
  <si>
    <t>Siglas</t>
  </si>
  <si>
    <t>Valores estimados     (%)</t>
  </si>
  <si>
    <t>Taxa de rateio da Administração Central</t>
  </si>
  <si>
    <t>AC</t>
  </si>
  <si>
    <t>Taxa representativa de Seguros</t>
  </si>
  <si>
    <t>S</t>
  </si>
  <si>
    <t>Riscos e imprevistos (**)</t>
  </si>
  <si>
    <t>R</t>
  </si>
  <si>
    <t>Taxa que representa o ônus das garantias exigidas no Edital</t>
  </si>
  <si>
    <t>G</t>
  </si>
  <si>
    <t>Taxa representativa das Despesas Financeiras</t>
  </si>
  <si>
    <t>DF</t>
  </si>
  <si>
    <t>Taxa de Lucro Bruto</t>
  </si>
  <si>
    <t>L</t>
  </si>
  <si>
    <t>Taxa representativa dos impostos (CONFINS, ISS E PIS)</t>
  </si>
  <si>
    <t>I</t>
  </si>
  <si>
    <t>BDI resultante</t>
  </si>
  <si>
    <t>5.0 BDI</t>
  </si>
  <si>
    <t>6.0  CUSTO/ UNIDADE</t>
  </si>
  <si>
    <t>7.0  Unidade mensal</t>
  </si>
  <si>
    <t>8.0 Custo/unid</t>
  </si>
  <si>
    <t>4.0 BDI</t>
  </si>
  <si>
    <t>4. SESC / SESI</t>
  </si>
  <si>
    <t>5. SENAC / SENAI</t>
  </si>
  <si>
    <t>3. SEBRAE</t>
  </si>
  <si>
    <t>1. Férias Gozadas</t>
  </si>
  <si>
    <t>3. Auxíio doença &gt; 15 dias</t>
  </si>
  <si>
    <t>4. Acidente de trabalho</t>
  </si>
  <si>
    <t>5. Auxílio Paternidade</t>
  </si>
  <si>
    <t>6. Faltas legais</t>
  </si>
  <si>
    <t>7. Treinamento NR5</t>
  </si>
  <si>
    <t>GRUPO B - CUSTO DE REPOSIÇÕES</t>
  </si>
  <si>
    <t>GRUPO C - VERBAS INDENIZATÓRIAS</t>
  </si>
  <si>
    <t>1.1/3 DAS Férias Constitucionais</t>
  </si>
  <si>
    <t>3. Aviso Prévio Trabalhado</t>
  </si>
  <si>
    <t>GRUPO D - VERBAS RECISÓRIAS</t>
  </si>
  <si>
    <t>1. Aviso prévio indenizado</t>
  </si>
  <si>
    <t>4. Contribuição Social</t>
  </si>
  <si>
    <t>1. Abono pecuniário</t>
  </si>
  <si>
    <t>2. 1/3 Constitucional do Abono</t>
  </si>
  <si>
    <t xml:space="preserve">GRUPO F </t>
  </si>
  <si>
    <t>2. Incidência de GP. A s/ AP Ind.</t>
  </si>
  <si>
    <t>3. Incidência s/ Salàrio Maternidade</t>
  </si>
  <si>
    <t>5. Incidência do GP s/ GPB e GPC</t>
  </si>
  <si>
    <t>Escavadeira hidráulica</t>
  </si>
  <si>
    <t>Valor mensal de um equipamento</t>
  </si>
  <si>
    <t>Unid.</t>
  </si>
  <si>
    <t>Valor 2013        (R$)</t>
  </si>
  <si>
    <t>Variação percentual           (%)</t>
  </si>
  <si>
    <t>Salário minimo (1)</t>
  </si>
  <si>
    <t>Piso salarial (agentes de coleta, varrição, capinação) (2)</t>
  </si>
  <si>
    <t>Salário encarregado (2)</t>
  </si>
  <si>
    <t>Salário auxiliar administrativo (2)</t>
  </si>
  <si>
    <t>Salário vigia (2)</t>
  </si>
  <si>
    <t>Salário gerente (2)</t>
  </si>
  <si>
    <t>Insalubridade agente de coleta/varrição</t>
  </si>
  <si>
    <t>Insalubridade motorista</t>
  </si>
  <si>
    <t>Encargos sociais</t>
  </si>
  <si>
    <t>Adicional noturno</t>
  </si>
  <si>
    <t>Vale transporte (Agentes de coleta, varrição, capinação</t>
  </si>
  <si>
    <t>Vale transporte (encarregados, auxiliar administrativo)</t>
  </si>
  <si>
    <t>Auxílio alimentação (Agentes de coleta, varrição, capinação) (2)</t>
  </si>
  <si>
    <t>Auxílio alimentação (encarregados, auxiliar administrativo) (2)</t>
  </si>
  <si>
    <t>Containeres  240 litros</t>
  </si>
  <si>
    <t>H - CUSTO DIRETO MENSAL DIURNO</t>
  </si>
  <si>
    <t>G - CUSTO DIRETO MENSAL  NOTURNO</t>
  </si>
  <si>
    <t>Administração Local</t>
  </si>
  <si>
    <t>Noturno</t>
  </si>
  <si>
    <t>Diurno</t>
  </si>
  <si>
    <t>equipe</t>
  </si>
  <si>
    <t>R$/equipe</t>
  </si>
  <si>
    <t>Total mensal com agentes de capinação</t>
  </si>
  <si>
    <t>14  - Operação de transbordo e transporte de resíduos ao destino final</t>
  </si>
  <si>
    <t xml:space="preserve">Cavalo mecânico </t>
  </si>
  <si>
    <t>Carreta</t>
  </si>
  <si>
    <t>COMPOSIÇÃO AUXILIAR - CAVALO MECÂNICO</t>
  </si>
  <si>
    <t xml:space="preserve">   A1 - Preço de Aquisição </t>
  </si>
  <si>
    <t>Cargo 4532</t>
  </si>
  <si>
    <t>Semi reboque</t>
  </si>
  <si>
    <t xml:space="preserve">   C1 - Preço de Um Litro de diesel</t>
  </si>
  <si>
    <t xml:space="preserve">   C2 - Kilometros Rodados num Mês (180 x 26)</t>
  </si>
  <si>
    <t xml:space="preserve">   D1 - Preço de um rodízio de pneus (6pneus completos)</t>
  </si>
  <si>
    <t xml:space="preserve">   D3 - Kilometros Rodados num Mes 180 x 26</t>
  </si>
  <si>
    <t xml:space="preserve">   D4 - CUSTO COM PNEUS </t>
  </si>
  <si>
    <t>COMPOSIÇÃO AUXILIAR - CARRETA 50 M3</t>
  </si>
  <si>
    <t xml:space="preserve">   D1 - Preço de um rodízio de pneus (12 pneus completos)</t>
  </si>
  <si>
    <t>Constellation 19330</t>
  </si>
  <si>
    <t xml:space="preserve">   F5 - Lavagem  (26 LAVAGENS A R$ 20,00)</t>
  </si>
  <si>
    <t xml:space="preserve">   C2 - Kilometros Rodados num Mês (90 x 26)</t>
  </si>
  <si>
    <t xml:space="preserve">   D3 - Kilometros Rodados num Mes 90 x 26</t>
  </si>
  <si>
    <t>Salário motorista (2)</t>
  </si>
  <si>
    <t>(3) Preço médio na região</t>
  </si>
  <si>
    <t>Gasolina (3)</t>
  </si>
  <si>
    <t>Óleo Diesel (3)</t>
  </si>
  <si>
    <t>BDI</t>
  </si>
  <si>
    <t>CUSTO/ UNIDADE</t>
  </si>
  <si>
    <t>F - CUSTO TOTAL</t>
  </si>
  <si>
    <t>Unidade mensal</t>
  </si>
  <si>
    <t>Custo/unid</t>
  </si>
  <si>
    <t xml:space="preserve">mês </t>
  </si>
  <si>
    <t>Administração local</t>
  </si>
  <si>
    <t>Agente de coleta</t>
  </si>
  <si>
    <t>Varrição manual de vias urbanas pavimentadas</t>
  </si>
  <si>
    <t xml:space="preserve">   D3 - Kilometros Rodados num Mes </t>
  </si>
  <si>
    <t xml:space="preserve">   D3 - Kilometros Rodados num Mês</t>
  </si>
  <si>
    <t xml:space="preserve">   F5 - Lavagem  ( 8 LAVAGENS A R$ 20,00)</t>
  </si>
  <si>
    <t>Adicional de sábados, domingos e feriados</t>
  </si>
  <si>
    <t>Adicional de sábados e feriados</t>
  </si>
  <si>
    <t>Valor mensal de um coletor</t>
  </si>
  <si>
    <t>Total mensal com coletor</t>
  </si>
  <si>
    <t>Valor mensal de um motorista</t>
  </si>
  <si>
    <t>Total mensal com motorista</t>
  </si>
  <si>
    <t>Adicional de sábados</t>
  </si>
  <si>
    <t xml:space="preserve">Adicional de sábados </t>
  </si>
  <si>
    <t>Equipe de serviços diversos</t>
  </si>
  <si>
    <t>7.0  CUSTO/ UNIDADE</t>
  </si>
  <si>
    <t>6.0 BDI</t>
  </si>
  <si>
    <t>4.0  - SISTEMA DE IDENTIFICAÇÃO, MONITORAMENTO E RASTREAMENTO</t>
  </si>
  <si>
    <t>Lutocar  de 100 l</t>
  </si>
  <si>
    <t>Custo com água mineral (2 litros/funcionário x dia)</t>
  </si>
  <si>
    <t>l/mês</t>
  </si>
  <si>
    <t>Água mineral</t>
  </si>
  <si>
    <t>R$/veículo x mês</t>
  </si>
  <si>
    <t>4.1.1  Aluguel, instalação e manutenção por veículo</t>
  </si>
  <si>
    <t>4.1.2 Aluguel, instalação e manutenção por equipamento</t>
  </si>
  <si>
    <t>4.1 Custo mensal por terminal de monitoramento (incluso 5% de reserva técnica)</t>
  </si>
  <si>
    <t>4.2 Smartphone</t>
  </si>
  <si>
    <t>4.2.1 Aquisição de smartphone</t>
  </si>
  <si>
    <t>4.2.2 Custo mensal com telefonia móvel</t>
  </si>
  <si>
    <t>4.2.3 Vida útil do equipamento</t>
  </si>
  <si>
    <t>4.2.4 Custo mensal por veículo/equipamento</t>
  </si>
  <si>
    <t>R$/equipamento</t>
  </si>
  <si>
    <t>R$/equipamento x mês</t>
  </si>
  <si>
    <t>R$/mês x equipamento</t>
  </si>
  <si>
    <t>4.3 Custo total</t>
  </si>
  <si>
    <t>4.3.1 Veículo</t>
  </si>
  <si>
    <t>4.3.2 Equipamentos (Lutocar)</t>
  </si>
  <si>
    <t>4.3.4 Custo mensal por equipamento</t>
  </si>
  <si>
    <t>4.3.5 Número de smartphone</t>
  </si>
  <si>
    <t xml:space="preserve">TOTAL </t>
  </si>
  <si>
    <t>unidades</t>
  </si>
  <si>
    <t>R$/veiculo x mês</t>
  </si>
  <si>
    <t>4.3.3 Custo mensal com veículos</t>
  </si>
  <si>
    <t>4.3.6 Custo mensal com smartphone</t>
  </si>
  <si>
    <t>R$/smartphone x mês</t>
  </si>
  <si>
    <t>Sistema de identificação, monitoramento e rastreamento</t>
  </si>
  <si>
    <t xml:space="preserve">4.3.2 Equipamentos </t>
  </si>
  <si>
    <t>3.0 - FERRAMENTAS/INSUMOS</t>
  </si>
  <si>
    <t>5.0 RESUMO DOS CUSTOS</t>
  </si>
  <si>
    <t>3.0 - FERRAMENTAS / INSUMOS</t>
  </si>
  <si>
    <t>3.0  - SISTEMA DE IDENTIFICAÇÃO, MONITORAMENTO E RASTREAMENTO</t>
  </si>
  <si>
    <t>3.1 Custo mensal por terminal de monitoramento (incluso 5% de reserva técnica)</t>
  </si>
  <si>
    <t>3.1.1  Aluguel, instalação e manutenção por veículo</t>
  </si>
  <si>
    <t>3.1.2 Aluguel, instalação e manutenção por equipamento</t>
  </si>
  <si>
    <t>3.2 Smartphone</t>
  </si>
  <si>
    <t>3.2.1 Aquisição de smartphone</t>
  </si>
  <si>
    <t>3.2.2 Custo mensal com telefonia móvel</t>
  </si>
  <si>
    <t>3.2.3 Vida útil do equipamento</t>
  </si>
  <si>
    <t>3.2.4 Custo mensal por veículo/equipamento</t>
  </si>
  <si>
    <t>3.3 Custo total</t>
  </si>
  <si>
    <t>3.3.1 Veículo</t>
  </si>
  <si>
    <t xml:space="preserve">3.3.2 Equipamentos </t>
  </si>
  <si>
    <t>3.3.3 Custo mensal com veículos</t>
  </si>
  <si>
    <t>3.3.4 Custo mensal por equipamento</t>
  </si>
  <si>
    <t>3.3.5 Número de smartphone</t>
  </si>
  <si>
    <t>3.3.6 Custo mensal com smartphone</t>
  </si>
  <si>
    <t>2.0 - FERRAMENTAS / INSUMOS</t>
  </si>
  <si>
    <t>Ferramentas /Insumos</t>
  </si>
  <si>
    <t xml:space="preserve">   E1 - Aluguel de Pontos de Apoio (Ponte dos carvalhos e Charneca)</t>
  </si>
  <si>
    <t xml:space="preserve">   E2 - Luz/Água/Telefone</t>
  </si>
  <si>
    <t xml:space="preserve">   E3 - Despesas Eventuais/Taxas e Emolumentos</t>
  </si>
  <si>
    <t xml:space="preserve">   E4 - Locação de ônibus para transporte de funcionários aos locais de serviço</t>
  </si>
  <si>
    <t xml:space="preserve">   E5 - CUSTO MENSAL COM INSTALAÇÕES</t>
  </si>
  <si>
    <t>Ano</t>
  </si>
  <si>
    <t>Bruto</t>
  </si>
  <si>
    <t>despesas</t>
  </si>
  <si>
    <t>Acumulado</t>
  </si>
  <si>
    <t>Líquido</t>
  </si>
  <si>
    <t xml:space="preserve">   A3 - Periculosidade (Art 193 $4 CLT) (30%)</t>
  </si>
  <si>
    <t xml:space="preserve">   B.4.3 - Kilometros Rodados num Mes 50 x 26</t>
  </si>
  <si>
    <t xml:space="preserve">   D.4.3 - Kilometros Rodados num Mes 70 x 26</t>
  </si>
  <si>
    <t xml:space="preserve">   D.3.2 - Kilometros Rodados num Mes 50 x 26</t>
  </si>
  <si>
    <t xml:space="preserve">   B.3.2 - Kilometros Rodados num Mes 35 x 26</t>
  </si>
  <si>
    <t xml:space="preserve">   C.3.2 - Kilometros Rodados num Mes 35 x 26</t>
  </si>
  <si>
    <t>Coleta  de resíduos de podação</t>
  </si>
  <si>
    <t>Caminhão poliguindaste</t>
  </si>
  <si>
    <t>Caçambas estacionárias</t>
  </si>
  <si>
    <t>Valor mensal caçambas estacionárias</t>
  </si>
  <si>
    <t>ano</t>
  </si>
  <si>
    <t>Coleta regular manual de resíduos sólidos domiciliares e comerciais</t>
  </si>
  <si>
    <t xml:space="preserve">PLANILHA RESUMO - SERVIÇOS DE LIMPEZA URBANA  </t>
  </si>
  <si>
    <t xml:space="preserve">   B4 - Coberturas sociais</t>
  </si>
  <si>
    <t xml:space="preserve">   B2 - Taxa de Juros Anual</t>
  </si>
  <si>
    <t xml:space="preserve">   F5 - Lavagem  (10 LAVAGENS A R$ 20,00)</t>
  </si>
  <si>
    <t>4.0 -  RESUMO DOS CUSTOS</t>
  </si>
  <si>
    <t xml:space="preserve">   G2 - Licenciamento/IPVA/Seguro Obrigatório</t>
  </si>
  <si>
    <t xml:space="preserve">   B.6.2 -  Licenciamento/IPVA/Seguro Obrigatório</t>
  </si>
  <si>
    <t>saveiro robusto com ar condicinado</t>
  </si>
  <si>
    <t xml:space="preserve">   C2.2 - Taxa de Juros Anual</t>
  </si>
  <si>
    <t xml:space="preserve">   D2.2 - Taxa de Juros anual</t>
  </si>
  <si>
    <t>3 - Coleta de resíduos inertes ou volumosos</t>
  </si>
  <si>
    <t>Mobi</t>
  </si>
  <si>
    <t>ISS</t>
  </si>
  <si>
    <t>CONFINS</t>
  </si>
  <si>
    <t>PIS</t>
  </si>
  <si>
    <t xml:space="preserve">   B2 - Alimentação  + cesta básica</t>
  </si>
  <si>
    <t>Pa quadrada</t>
  </si>
  <si>
    <t xml:space="preserve">   E2 - Custo do Equipamento 0 Km</t>
  </si>
  <si>
    <t xml:space="preserve">   E2 - Custo do Equipamento 0Km</t>
  </si>
  <si>
    <t>H  - CUSTO DIRETO MENSAL  NOTURNO</t>
  </si>
  <si>
    <t>2. Complemento AP Trabalhado</t>
  </si>
  <si>
    <t>3. Reflexos13º salário e férias</t>
  </si>
  <si>
    <t>4. Indenização compensatória</t>
  </si>
  <si>
    <t xml:space="preserve">6. Férias Indenizadas </t>
  </si>
  <si>
    <t xml:space="preserve">7. 1/3 Férias Indenizadas </t>
  </si>
  <si>
    <t>1. FGTS s/ Aviso Prévio Indenizado</t>
  </si>
  <si>
    <t>4. Incidência grupo A s/ grupo B + C</t>
  </si>
  <si>
    <t>R$/t</t>
  </si>
  <si>
    <t>2 - Coleta regular,  manual  de resíduos sólidos domiciliares e comerciais - diurno</t>
  </si>
  <si>
    <t>9  -  Equipe de serviços diversos</t>
  </si>
  <si>
    <t>PALMA</t>
  </si>
  <si>
    <t>estrutura/ equipe</t>
  </si>
  <si>
    <t xml:space="preserve">E - MANUTENÇÃO </t>
  </si>
  <si>
    <t>Coleta manual ensacada</t>
  </si>
  <si>
    <t>Gerente</t>
  </si>
  <si>
    <t>const17190</t>
  </si>
  <si>
    <t>Caminhão caçamba/ compactador 8 m3</t>
  </si>
  <si>
    <t xml:space="preserve">   C2 - Kilometros Rodados num Mês </t>
  </si>
  <si>
    <t xml:space="preserve">   C2 - Kilometros Rodados num Mês</t>
  </si>
  <si>
    <t>COMPOSIÇÃO AUXILIAR - CAMINHÃO BASCULANTE 12 M³</t>
  </si>
  <si>
    <t>Retroescavadeira</t>
  </si>
  <si>
    <t>8  - Retro escavadeira</t>
  </si>
  <si>
    <t>Componentes</t>
  </si>
  <si>
    <t>Valores</t>
  </si>
  <si>
    <t>DNIT</t>
  </si>
  <si>
    <t>Fabricante</t>
  </si>
  <si>
    <t>Equipamento:</t>
  </si>
  <si>
    <t>Retro escavadeira</t>
  </si>
  <si>
    <t>Potência (P)</t>
  </si>
  <si>
    <t>HP</t>
  </si>
  <si>
    <t>kW</t>
  </si>
  <si>
    <t>Valor de aquisição (Vo)</t>
  </si>
  <si>
    <t>Depreciado para 5 anos</t>
  </si>
  <si>
    <t>Horas trabalhadas previstas</t>
  </si>
  <si>
    <t>mês</t>
  </si>
  <si>
    <t>Valor residual (Vr) em relação ao equipametno novo</t>
  </si>
  <si>
    <t>Tabela DNIT (2008)</t>
  </si>
  <si>
    <t>Vida util adotado</t>
  </si>
  <si>
    <t>Vida útil (VU)</t>
  </si>
  <si>
    <t>horas</t>
  </si>
  <si>
    <t>Vida útil (n)</t>
  </si>
  <si>
    <t>anos</t>
  </si>
  <si>
    <t>Tabela</t>
  </si>
  <si>
    <t>Quantidade de horas estimada de horas / ano (a)</t>
  </si>
  <si>
    <t>h/ano</t>
  </si>
  <si>
    <t xml:space="preserve">Tabela </t>
  </si>
  <si>
    <t>Taxa de juros de mercado (i)</t>
  </si>
  <si>
    <t>% aa</t>
  </si>
  <si>
    <t>SELIC</t>
  </si>
  <si>
    <t>K = coeficiente de manutenção</t>
  </si>
  <si>
    <t>Depreciação (Dh)</t>
  </si>
  <si>
    <t>Investimento médio (Im)</t>
  </si>
  <si>
    <t>Valor</t>
  </si>
  <si>
    <t>Juros de capital de equipamentos de terraplenagem (Jm)</t>
  </si>
  <si>
    <t>hs</t>
  </si>
  <si>
    <t>Custo horário da manutenção</t>
  </si>
  <si>
    <t>Ciclo</t>
  </si>
  <si>
    <t>Consumo horário de combustível (ch)</t>
  </si>
  <si>
    <t>l/h</t>
  </si>
  <si>
    <t>Preço do óleo díesel (p)</t>
  </si>
  <si>
    <t>Custo horário com combustível (C1)</t>
  </si>
  <si>
    <t>Consumo p/ KW lubrificantes, filtros, graxas, em litros de óleo diesel (lh)</t>
  </si>
  <si>
    <t>l/kW</t>
  </si>
  <si>
    <t>Consumo  lubrificantes, filtros, graxas, em litros de óleo diesel (L1)</t>
  </si>
  <si>
    <t>Custo horário com lubrificantes, filtros, graxas, em litros de óleo diesel (L2)</t>
  </si>
  <si>
    <t>Custo com mão de obra (CM)</t>
  </si>
  <si>
    <t>Incluido água mineral para o operador</t>
  </si>
  <si>
    <t>Custo total de hora produtiva</t>
  </si>
  <si>
    <t>Custo total de hora improdutiva</t>
  </si>
  <si>
    <t>Depreciação + Juros + Mão de obra</t>
  </si>
  <si>
    <t>Custo total</t>
  </si>
  <si>
    <t>Preço horário</t>
  </si>
  <si>
    <t>Caminhão caçamba basculante 12 m3</t>
  </si>
  <si>
    <t>Total com caçamba 12 m3</t>
  </si>
  <si>
    <t>Coleta manual de resíduos inertes ou volumosos</t>
  </si>
  <si>
    <t>Coleta mecanizada de resíduos inertes ou volumosos</t>
  </si>
  <si>
    <t>Transporte até o destino final</t>
  </si>
  <si>
    <t>COMPOSIÇÃO AUXILIAR - TRANSPORTE DESTINO FINAL</t>
  </si>
  <si>
    <t>4 - Coleta mecanizada de resíduos inertes ou volumosos</t>
  </si>
  <si>
    <t>5 - Coleta  de resíduos de podação</t>
  </si>
  <si>
    <t>6  -  Coleta ensacada</t>
  </si>
  <si>
    <t>7 - Capinação e raspagem  de vias pavimentadas</t>
  </si>
  <si>
    <t>8 - Pintura de meio-fio</t>
  </si>
  <si>
    <t>11 - ADMINISTRAÇÃO LOCAL</t>
  </si>
  <si>
    <t>const 17280</t>
  </si>
  <si>
    <t>Valor 2022                   (R$)</t>
  </si>
  <si>
    <t>(1) Salário mínimo 2022</t>
  </si>
  <si>
    <t>(2) Piso salarial e reajustes conforme Convenção Coletiva 2022</t>
  </si>
  <si>
    <t>10 - Transporte até o destino final</t>
  </si>
  <si>
    <t xml:space="preserve"> Valor seguro fipe</t>
  </si>
  <si>
    <t>constellation 23230</t>
  </si>
  <si>
    <t>Valor Total (12 meses)</t>
  </si>
  <si>
    <t>Quadro Resumo - Encargos Sociais do Estado de Pernambuco                                                                           Convenção Coletiva de Trabalho 2022</t>
  </si>
  <si>
    <t>SINAPI</t>
  </si>
  <si>
    <t>Sacos plásticos 200 litros</t>
  </si>
  <si>
    <t xml:space="preserve">Verba mensal para sacos plásticos 200L </t>
  </si>
  <si>
    <t>Pr. Unitário médio</t>
  </si>
  <si>
    <t>JC EPIS</t>
  </si>
  <si>
    <t>INTERNET</t>
  </si>
  <si>
    <t>Oculos de proteção</t>
  </si>
  <si>
    <t xml:space="preserve">          B1.5 - Óculos de proteção</t>
  </si>
  <si>
    <t>QUANT. MÊS</t>
  </si>
  <si>
    <t>QTD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</si>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</sst>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00"/>
    <numFmt numFmtId="167" formatCode="#,##0.0000"/>
    <numFmt numFmtId="168" formatCode="_-* #,##0.00000_-;\-* #,##0.00000_-;_-* &quot;-&quot;??_-;_-@_-"/>
    <numFmt numFmtId="169" formatCode="_-* #,##0.000_-;\-* #,##0.000_-;_-* &quot;-&quot;??_-;_-@_-"/>
    <numFmt numFmtId="170" formatCode="_-* #,##0.000_-;\-* #,##0.000_-;_-* &quot;-&quot;???_-;_-@_-"/>
    <numFmt numFmtId="171" formatCode="0.0000"/>
    <numFmt numFmtId="172" formatCode="#,##0.00000"/>
  </numFmts>
  <fonts count="25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vertAlign val="superscript"/>
      <sz val="10"/>
      <color indexed="8"/>
      <name val="Calibri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</cellStyleXfs>
  <cellXfs count="365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0" fillId="0" borderId="0" xfId="0" applyNumberFormat="1" applyFont="1"/>
    <xf numFmtId="4" fontId="9" fillId="0" borderId="0" xfId="0" quotePrefix="1" applyNumberFormat="1" applyFont="1" applyAlignment="1">
      <alignment horizontal="left"/>
    </xf>
    <xf numFmtId="4" fontId="9" fillId="0" borderId="0" xfId="0" applyNumberFormat="1" applyFont="1"/>
    <xf numFmtId="0" fontId="4" fillId="0" borderId="0" xfId="0" applyFont="1" applyFill="1"/>
    <xf numFmtId="0" fontId="1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4" fontId="4" fillId="0" borderId="0" xfId="2" applyFont="1"/>
    <xf numFmtId="0" fontId="4" fillId="0" borderId="0" xfId="0" applyFont="1" applyAlignment="1">
      <alignment horizontal="left"/>
    </xf>
    <xf numFmtId="4" fontId="4" fillId="0" borderId="0" xfId="1" applyNumberFormat="1" applyFont="1"/>
    <xf numFmtId="164" fontId="4" fillId="0" borderId="0" xfId="0" applyNumberFormat="1" applyFont="1"/>
    <xf numFmtId="0" fontId="13" fillId="2" borderId="0" xfId="0" quotePrefix="1" applyFont="1" applyFill="1" applyAlignment="1">
      <alignment horizontal="left"/>
    </xf>
    <xf numFmtId="164" fontId="13" fillId="2" borderId="0" xfId="0" applyNumberFormat="1" applyFont="1" applyFill="1"/>
    <xf numFmtId="0" fontId="12" fillId="2" borderId="0" xfId="0" applyFont="1" applyFill="1"/>
    <xf numFmtId="0" fontId="13" fillId="2" borderId="0" xfId="0" applyFont="1" applyFill="1" applyAlignment="1">
      <alignment horizontal="left"/>
    </xf>
    <xf numFmtId="164" fontId="4" fillId="0" borderId="0" xfId="2" applyNumberFormat="1" applyFont="1"/>
    <xf numFmtId="0" fontId="13" fillId="2" borderId="0" xfId="0" applyFont="1" applyFill="1"/>
    <xf numFmtId="4" fontId="4" fillId="0" borderId="0" xfId="2" applyNumberFormat="1" applyFont="1" applyAlignment="1">
      <alignment horizontal="right"/>
    </xf>
    <xf numFmtId="4" fontId="9" fillId="2" borderId="0" xfId="0" applyNumberFormat="1" applyFont="1" applyFill="1"/>
    <xf numFmtId="0" fontId="14" fillId="0" borderId="0" xfId="0" quotePrefix="1" applyFont="1" applyAlignment="1">
      <alignment horizontal="left"/>
    </xf>
    <xf numFmtId="164" fontId="14" fillId="0" borderId="0" xfId="0" applyNumberFormat="1" applyFont="1"/>
    <xf numFmtId="0" fontId="12" fillId="0" borderId="0" xfId="0" applyFont="1"/>
    <xf numFmtId="164" fontId="4" fillId="0" borderId="0" xfId="2" applyFont="1" applyFill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9" fillId="0" borderId="0" xfId="0" quotePrefix="1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164" fontId="4" fillId="0" borderId="0" xfId="2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9" fontId="4" fillId="0" borderId="0" xfId="1" applyFont="1" applyAlignment="1">
      <alignment vertical="center"/>
    </xf>
    <xf numFmtId="4" fontId="10" fillId="0" borderId="0" xfId="0" quotePrefix="1" applyNumberFormat="1" applyFont="1" applyAlignment="1">
      <alignment horizontal="left" vertical="center"/>
    </xf>
    <xf numFmtId="10" fontId="10" fillId="0" borderId="0" xfId="1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3" fillId="2" borderId="0" xfId="0" quotePrefix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4" fontId="4" fillId="0" borderId="0" xfId="0" applyNumberFormat="1" applyFont="1"/>
    <xf numFmtId="9" fontId="4" fillId="0" borderId="0" xfId="1" applyFont="1"/>
    <xf numFmtId="4" fontId="10" fillId="0" borderId="0" xfId="0" quotePrefix="1" applyNumberFormat="1" applyFont="1" applyAlignment="1">
      <alignment horizontal="left"/>
    </xf>
    <xf numFmtId="165" fontId="10" fillId="0" borderId="0" xfId="1" applyNumberFormat="1" applyFont="1"/>
    <xf numFmtId="0" fontId="12" fillId="0" borderId="0" xfId="0" applyFont="1" applyAlignment="1">
      <alignment horizontal="left"/>
    </xf>
    <xf numFmtId="164" fontId="14" fillId="0" borderId="0" xfId="2" applyFont="1"/>
    <xf numFmtId="4" fontId="4" fillId="0" borderId="0" xfId="0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43" fontId="4" fillId="0" borderId="0" xfId="0" applyNumberFormat="1" applyFont="1"/>
    <xf numFmtId="0" fontId="11" fillId="0" borderId="0" xfId="0" applyFont="1"/>
    <xf numFmtId="4" fontId="9" fillId="0" borderId="0" xfId="0" applyNumberFormat="1" applyFont="1" applyAlignment="1">
      <alignment horizontal="left"/>
    </xf>
    <xf numFmtId="4" fontId="9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15" fillId="0" borderId="0" xfId="0" quotePrefix="1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4" fontId="15" fillId="0" borderId="0" xfId="0" applyNumberFormat="1" applyFont="1"/>
    <xf numFmtId="166" fontId="10" fillId="0" borderId="0" xfId="0" applyNumberFormat="1" applyFont="1"/>
    <xf numFmtId="4" fontId="11" fillId="0" borderId="0" xfId="0" applyNumberFormat="1" applyFont="1"/>
    <xf numFmtId="4" fontId="11" fillId="2" borderId="0" xfId="0" applyNumberFormat="1" applyFont="1" applyFill="1" applyAlignment="1">
      <alignment horizontal="left"/>
    </xf>
    <xf numFmtId="4" fontId="11" fillId="2" borderId="0" xfId="0" applyNumberFormat="1" applyFont="1" applyFill="1"/>
    <xf numFmtId="10" fontId="12" fillId="0" borderId="0" xfId="0" applyNumberFormat="1" applyFont="1"/>
    <xf numFmtId="4" fontId="9" fillId="2" borderId="0" xfId="0" quotePrefix="1" applyNumberFormat="1" applyFont="1" applyFill="1" applyAlignment="1">
      <alignment horizontal="left"/>
    </xf>
    <xf numFmtId="4" fontId="9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1" fillId="0" borderId="0" xfId="0" quotePrefix="1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left"/>
    </xf>
    <xf numFmtId="164" fontId="10" fillId="0" borderId="0" xfId="0" applyNumberFormat="1" applyFont="1"/>
    <xf numFmtId="4" fontId="4" fillId="0" borderId="0" xfId="0" applyNumberFormat="1" applyFont="1" applyAlignment="1">
      <alignment horizontal="center"/>
    </xf>
    <xf numFmtId="4" fontId="10" fillId="0" borderId="0" xfId="0" quotePrefix="1" applyNumberFormat="1" applyFont="1"/>
    <xf numFmtId="4" fontId="1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9" fillId="2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0" fontId="12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1" fillId="0" borderId="0" xfId="0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4" fontId="9" fillId="2" borderId="0" xfId="0" applyNumberFormat="1" applyFont="1" applyFill="1" applyAlignment="1">
      <alignment vertical="center"/>
    </xf>
    <xf numFmtId="4" fontId="15" fillId="0" borderId="0" xfId="0" quotePrefix="1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left" vertical="center"/>
    </xf>
    <xf numFmtId="4" fontId="15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vertical="center"/>
    </xf>
    <xf numFmtId="4" fontId="9" fillId="2" borderId="0" xfId="0" quotePrefix="1" applyNumberFormat="1" applyFont="1" applyFill="1" applyAlignment="1">
      <alignment horizontal="left" vertical="center"/>
    </xf>
    <xf numFmtId="4" fontId="11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quotePrefix="1" applyNumberFormat="1" applyFont="1" applyAlignment="1">
      <alignment horizontal="left"/>
    </xf>
    <xf numFmtId="0" fontId="4" fillId="0" borderId="0" xfId="0" quotePrefix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" fontId="4" fillId="0" borderId="0" xfId="2" applyNumberFormat="1" applyFont="1" applyAlignment="1">
      <alignment vertical="center"/>
    </xf>
    <xf numFmtId="0" fontId="4" fillId="0" borderId="0" xfId="0" quotePrefix="1" applyFont="1" applyAlignment="1">
      <alignment vertical="center"/>
    </xf>
    <xf numFmtId="0" fontId="12" fillId="0" borderId="0" xfId="0" quotePrefix="1" applyFont="1" applyAlignment="1">
      <alignment vertical="center"/>
    </xf>
    <xf numFmtId="164" fontId="12" fillId="0" borderId="0" xfId="2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9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3" borderId="0" xfId="0" applyNumberFormat="1" applyFont="1" applyFill="1"/>
    <xf numFmtId="4" fontId="9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right"/>
    </xf>
    <xf numFmtId="4" fontId="10" fillId="3" borderId="0" xfId="0" applyNumberFormat="1" applyFont="1" applyFill="1"/>
    <xf numFmtId="168" fontId="10" fillId="0" borderId="0" xfId="0" applyNumberFormat="1" applyFont="1"/>
    <xf numFmtId="0" fontId="7" fillId="0" borderId="0" xfId="0" applyFont="1" applyAlignment="1">
      <alignment horizontal="right" vertical="center"/>
    </xf>
    <xf numFmtId="167" fontId="4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10" fillId="0" borderId="0" xfId="0" quotePrefix="1" applyNumberFormat="1" applyFont="1" applyAlignment="1">
      <alignment horizontal="right" vertical="center"/>
    </xf>
    <xf numFmtId="4" fontId="9" fillId="2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167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4" fontId="11" fillId="2" borderId="0" xfId="0" applyNumberFormat="1" applyFont="1" applyFill="1" applyAlignment="1">
      <alignment horizontal="left" vertical="center"/>
    </xf>
    <xf numFmtId="10" fontId="9" fillId="2" borderId="0" xfId="1" applyNumberFormat="1" applyFont="1" applyFill="1" applyAlignment="1">
      <alignment vertical="center"/>
    </xf>
    <xf numFmtId="10" fontId="12" fillId="0" borderId="0" xfId="0" applyNumberFormat="1" applyFont="1" applyAlignment="1">
      <alignment vertical="center"/>
    </xf>
    <xf numFmtId="167" fontId="10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169" fontId="12" fillId="0" borderId="0" xfId="0" applyNumberFormat="1" applyFont="1" applyAlignment="1">
      <alignment vertical="center"/>
    </xf>
    <xf numFmtId="0" fontId="17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4" fontId="19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4" fontId="20" fillId="3" borderId="1" xfId="0" applyNumberFormat="1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7" fontId="1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vertical="center"/>
    </xf>
    <xf numFmtId="10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0" fontId="10" fillId="0" borderId="0" xfId="0" applyNumberFormat="1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4" fontId="13" fillId="2" borderId="0" xfId="0" quotePrefix="1" applyNumberFormat="1" applyFont="1" applyFill="1" applyAlignment="1">
      <alignment horizontal="right"/>
    </xf>
    <xf numFmtId="0" fontId="21" fillId="0" borderId="0" xfId="0" applyFont="1" applyAlignment="1">
      <alignment horizontal="left"/>
    </xf>
    <xf numFmtId="4" fontId="22" fillId="0" borderId="0" xfId="0" applyNumberFormat="1" applyFont="1"/>
    <xf numFmtId="0" fontId="13" fillId="0" borderId="0" xfId="0" quotePrefix="1" applyFont="1" applyFill="1" applyAlignment="1">
      <alignment horizontal="left"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10" fontId="10" fillId="2" borderId="0" xfId="1" applyNumberFormat="1" applyFont="1" applyFill="1" applyAlignment="1">
      <alignment vertical="center"/>
    </xf>
    <xf numFmtId="4" fontId="10" fillId="2" borderId="0" xfId="0" applyNumberFormat="1" applyFont="1" applyFill="1" applyAlignment="1">
      <alignment horizontal="right" vertical="center"/>
    </xf>
    <xf numFmtId="4" fontId="9" fillId="2" borderId="0" xfId="0" quotePrefix="1" applyNumberFormat="1" applyFont="1" applyFill="1" applyAlignment="1">
      <alignment horizontal="right" vertical="center"/>
    </xf>
    <xf numFmtId="0" fontId="13" fillId="0" borderId="0" xfId="0" quotePrefix="1" applyFont="1" applyFill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4" fontId="10" fillId="0" borderId="0" xfId="0" applyNumberFormat="1" applyFont="1" applyFill="1" applyAlignment="1">
      <alignment horizontal="left" vertical="center"/>
    </xf>
    <xf numFmtId="3" fontId="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4" fontId="0" fillId="0" borderId="0" xfId="0" applyNumberFormat="1"/>
    <xf numFmtId="2" fontId="4" fillId="0" borderId="0" xfId="0" applyNumberFormat="1" applyFont="1"/>
    <xf numFmtId="10" fontId="10" fillId="0" borderId="0" xfId="1" applyNumberFormat="1" applyFont="1"/>
    <xf numFmtId="0" fontId="20" fillId="3" borderId="1" xfId="0" applyFont="1" applyFill="1" applyBorder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 wrapText="1"/>
    </xf>
    <xf numFmtId="171" fontId="19" fillId="0" borderId="0" xfId="0" applyNumberFormat="1" applyFont="1" applyAlignment="1">
      <alignment vertical="center"/>
    </xf>
    <xf numFmtId="172" fontId="4" fillId="0" borderId="0" xfId="0" applyNumberFormat="1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0" fontId="4" fillId="0" borderId="0" xfId="1" applyNumberFormat="1" applyFont="1" applyAlignment="1">
      <alignment vertical="center"/>
    </xf>
    <xf numFmtId="1" fontId="2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4" fontId="9" fillId="2" borderId="0" xfId="6" applyNumberFormat="1" applyFont="1" applyFill="1"/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4" fontId="4" fillId="0" borderId="0" xfId="0" applyNumberFormat="1" applyFont="1" applyAlignment="1">
      <alignment horizontal="justify" vertical="center"/>
    </xf>
    <xf numFmtId="166" fontId="2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164" fontId="4" fillId="0" borderId="1" xfId="2" applyFont="1" applyFill="1" applyBorder="1" applyAlignment="1">
      <alignment horizontal="right" vertical="center" wrapText="1"/>
    </xf>
    <xf numFmtId="164" fontId="4" fillId="0" borderId="1" xfId="2" applyFont="1" applyBorder="1" applyAlignment="1">
      <alignment horizontal="right" vertical="center" wrapText="1"/>
    </xf>
    <xf numFmtId="164" fontId="4" fillId="0" borderId="0" xfId="2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167" fontId="4" fillId="0" borderId="0" xfId="0" applyNumberFormat="1" applyFont="1" applyAlignment="1">
      <alignment vertical="center" wrapText="1"/>
    </xf>
    <xf numFmtId="37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2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164" fontId="12" fillId="0" borderId="1" xfId="2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right" vertical="center" wrapText="1"/>
    </xf>
    <xf numFmtId="10" fontId="12" fillId="0" borderId="1" xfId="1" applyNumberFormat="1" applyFont="1" applyFill="1" applyBorder="1" applyAlignment="1">
      <alignment vertical="center" wrapText="1"/>
    </xf>
    <xf numFmtId="4" fontId="12" fillId="0" borderId="1" xfId="2" applyNumberFormat="1" applyFont="1" applyFill="1" applyBorder="1" applyAlignment="1">
      <alignment horizontal="right" vertical="center" wrapText="1"/>
    </xf>
    <xf numFmtId="4" fontId="12" fillId="0" borderId="0" xfId="2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vertical="center" wrapText="1"/>
    </xf>
    <xf numFmtId="9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12" fillId="0" borderId="0" xfId="0" applyFont="1" applyAlignment="1">
      <alignment horizontal="justify" vertical="center"/>
    </xf>
    <xf numFmtId="43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vertical="center"/>
    </xf>
    <xf numFmtId="2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2" fontId="19" fillId="0" borderId="1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" fontId="19" fillId="0" borderId="1" xfId="0" applyNumberFormat="1" applyFont="1" applyBorder="1" applyAlignment="1">
      <alignment vertical="center"/>
    </xf>
    <xf numFmtId="2" fontId="19" fillId="0" borderId="5" xfId="0" applyNumberFormat="1" applyFont="1" applyBorder="1" applyAlignment="1">
      <alignment vertical="center"/>
    </xf>
    <xf numFmtId="2" fontId="19" fillId="0" borderId="1" xfId="0" applyNumberFormat="1" applyFont="1" applyBorder="1" applyAlignment="1">
      <alignment vertical="center" wrapText="1"/>
    </xf>
    <xf numFmtId="2" fontId="20" fillId="0" borderId="0" xfId="0" applyNumberFormat="1" applyFont="1" applyAlignment="1">
      <alignment vertical="center"/>
    </xf>
    <xf numFmtId="2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2" fontId="20" fillId="0" borderId="1" xfId="0" applyNumberFormat="1" applyFont="1" applyBorder="1" applyAlignment="1">
      <alignment vertical="center" wrapText="1"/>
    </xf>
    <xf numFmtId="167" fontId="19" fillId="0" borderId="1" xfId="0" applyNumberFormat="1" applyFont="1" applyBorder="1" applyAlignment="1">
      <alignment vertical="center"/>
    </xf>
    <xf numFmtId="10" fontId="20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72" fontId="20" fillId="0" borderId="0" xfId="0" applyNumberFormat="1" applyFont="1" applyAlignment="1">
      <alignment horizontal="center" vertical="center"/>
    </xf>
    <xf numFmtId="172" fontId="19" fillId="0" borderId="0" xfId="0" applyNumberFormat="1" applyFont="1" applyAlignment="1">
      <alignment vertical="center"/>
    </xf>
    <xf numFmtId="166" fontId="19" fillId="0" borderId="1" xfId="0" applyNumberFormat="1" applyFont="1" applyBorder="1" applyAlignment="1">
      <alignment vertical="center"/>
    </xf>
    <xf numFmtId="4" fontId="4" fillId="0" borderId="0" xfId="2" applyNumberFormat="1" applyFont="1"/>
    <xf numFmtId="0" fontId="4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" fontId="4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9" fillId="0" borderId="0" xfId="0" quotePrefix="1" applyNumberFormat="1" applyFont="1" applyAlignment="1">
      <alignment horizontal="left"/>
    </xf>
    <xf numFmtId="2" fontId="19" fillId="0" borderId="1" xfId="0" applyNumberFormat="1" applyFont="1" applyBorder="1" applyAlignment="1">
      <alignment horizontal="left" vertical="center"/>
    </xf>
    <xf numFmtId="2" fontId="19" fillId="0" borderId="4" xfId="0" applyNumberFormat="1" applyFont="1" applyBorder="1" applyAlignment="1">
      <alignment horizontal="left" vertical="center"/>
    </xf>
    <xf numFmtId="2" fontId="19" fillId="0" borderId="2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</cellXfs>
  <cellStyles count="10">
    <cellStyle name="Normal" xfId="0" builtinId="0"/>
    <cellStyle name="Normal 2" xfId="5" xr:uid="{00000000-0005-0000-0000-000001000000}"/>
    <cellStyle name="Normal 3" xfId="9" xr:uid="{00000000-0005-0000-0000-000002000000}"/>
    <cellStyle name="Normal 4" xfId="6" xr:uid="{00000000-0005-0000-0000-000003000000}"/>
    <cellStyle name="Porcentagem" xfId="1" builtinId="5"/>
    <cellStyle name="Porcentagem 2" xfId="4" xr:uid="{00000000-0005-0000-0000-000005000000}"/>
    <cellStyle name="Separador de milhares 2" xfId="3" xr:uid="{00000000-0005-0000-0000-000006000000}"/>
    <cellStyle name="Separador de milhares 2 2" xfId="8" xr:uid="{00000000-0005-0000-0000-000007000000}"/>
    <cellStyle name="Vírgula" xfId="2" builtinId="3"/>
    <cellStyle name="Vírgula 2" xfId="7" xr:uid="{00000000-0005-0000-0000-00000900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18</xdr:row>
      <xdr:rowOff>76200</xdr:rowOff>
    </xdr:from>
    <xdr:to>
      <xdr:col>2</xdr:col>
      <xdr:colOff>1323975</xdr:colOff>
      <xdr:row>18</xdr:row>
      <xdr:rowOff>419100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9824D3D-EAFE-4808-BE42-1BF9A54C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27095" y="4069080"/>
          <a:ext cx="647700" cy="3048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314325</xdr:colOff>
      <xdr:row>19</xdr:row>
      <xdr:rowOff>85725</xdr:rowOff>
    </xdr:from>
    <xdr:to>
      <xdr:col>2</xdr:col>
      <xdr:colOff>1866900</xdr:colOff>
      <xdr:row>19</xdr:row>
      <xdr:rowOff>428625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8C9F64E-78A0-4981-8640-7D8945F4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65145" y="4459605"/>
          <a:ext cx="1552575" cy="297180"/>
        </a:xfrm>
        <a:prstGeom prst="rect">
          <a:avLst/>
        </a:prstGeom>
        <a:noFill/>
      </xdr:spPr>
    </xdr:pic>
    <xdr:clientData/>
  </xdr:twoCellAnchor>
  <xdr:twoCellAnchor>
    <xdr:from>
      <xdr:col>2</xdr:col>
      <xdr:colOff>714375</xdr:colOff>
      <xdr:row>20</xdr:row>
      <xdr:rowOff>85725</xdr:rowOff>
    </xdr:from>
    <xdr:to>
      <xdr:col>2</xdr:col>
      <xdr:colOff>1304925</xdr:colOff>
      <xdr:row>20</xdr:row>
      <xdr:rowOff>409575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E430361-333D-4883-88CE-5081A4D5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5195" y="4840605"/>
          <a:ext cx="590550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704850</xdr:colOff>
      <xdr:row>21</xdr:row>
      <xdr:rowOff>95250</xdr:rowOff>
    </xdr:from>
    <xdr:to>
      <xdr:col>2</xdr:col>
      <xdr:colOff>1352550</xdr:colOff>
      <xdr:row>21</xdr:row>
      <xdr:rowOff>419100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7C179A2-E576-4827-8341-0AB4154B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670" y="5231130"/>
          <a:ext cx="6477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600075</xdr:colOff>
      <xdr:row>24</xdr:row>
      <xdr:rowOff>142875</xdr:rowOff>
    </xdr:from>
    <xdr:to>
      <xdr:col>2</xdr:col>
      <xdr:colOff>1238250</xdr:colOff>
      <xdr:row>24</xdr:row>
      <xdr:rowOff>323850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CBFB972-8EA9-4DE6-A5BA-7C200E53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895" y="6238875"/>
          <a:ext cx="6381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695325</xdr:colOff>
      <xdr:row>26</xdr:row>
      <xdr:rowOff>142875</xdr:rowOff>
    </xdr:from>
    <xdr:to>
      <xdr:col>2</xdr:col>
      <xdr:colOff>1304925</xdr:colOff>
      <xdr:row>26</xdr:row>
      <xdr:rowOff>323850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7ECD9B4-95AE-49E1-BB8A-11F7E59A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145" y="7145655"/>
          <a:ext cx="609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685800</xdr:colOff>
      <xdr:row>27</xdr:row>
      <xdr:rowOff>133350</xdr:rowOff>
    </xdr:from>
    <xdr:to>
      <xdr:col>2</xdr:col>
      <xdr:colOff>1333500</xdr:colOff>
      <xdr:row>27</xdr:row>
      <xdr:rowOff>314325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2A148156-E762-4D23-9D4D-7119182E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7486650"/>
          <a:ext cx="6477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95250</xdr:rowOff>
    </xdr:from>
    <xdr:to>
      <xdr:col>0</xdr:col>
      <xdr:colOff>3781425</xdr:colOff>
      <xdr:row>11</xdr:row>
      <xdr:rowOff>466725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1450" y="3286125"/>
          <a:ext cx="3609975" cy="371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171450</xdr:colOff>
      <xdr:row>11</xdr:row>
      <xdr:rowOff>95250</xdr:rowOff>
    </xdr:from>
    <xdr:to>
      <xdr:col>0</xdr:col>
      <xdr:colOff>3781425</xdr:colOff>
      <xdr:row>11</xdr:row>
      <xdr:rowOff>466725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1450" y="3286125"/>
          <a:ext cx="3609975" cy="371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171450</xdr:colOff>
      <xdr:row>11</xdr:row>
      <xdr:rowOff>95250</xdr:rowOff>
    </xdr:from>
    <xdr:to>
      <xdr:col>0</xdr:col>
      <xdr:colOff>3781425</xdr:colOff>
      <xdr:row>11</xdr:row>
      <xdr:rowOff>466725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BC7908-CDFC-433A-B2FB-2D1B1E4A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1450" y="3286125"/>
          <a:ext cx="3609975" cy="371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171450</xdr:colOff>
      <xdr:row>11</xdr:row>
      <xdr:rowOff>95250</xdr:rowOff>
    </xdr:from>
    <xdr:to>
      <xdr:col>0</xdr:col>
      <xdr:colOff>3781425</xdr:colOff>
      <xdr:row>11</xdr:row>
      <xdr:rowOff>466725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C38020DA-3BF6-4A8F-ABF3-9CE11BF3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1450" y="3286125"/>
          <a:ext cx="3609975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quivos%20de%20Trabalho\consultoria\Carpina\2017\custo%20hor&#225;rio%20ajustado%20retro%20anexo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de%20Trabalho/cabo/Cabo/LIMPEZA/bdi-cab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de%20Trabalho/cabo/Cabo/composi&#231;&#227;o/final/REvis&#227;o%202/COMPOSI&#199;&#195;O%20LIXO-cabo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de%20Trabalho/Acqua/MF/Pesqueira/COMPOSI&#199;&#195;O%20LIXO-pesqueira%20emerg&#234;ncia%20licita&#231;&#227;o%20-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de%20Trabalho/Acqua/Salgueiro/coleta%20II/composi&#231;&#227;o/bdi-salgueir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de%20Trabalho/cabo/Cabo/composi&#231;&#227;o/encargos1-tribu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6"/>
      <sheetName val="Planilha1"/>
      <sheetName val="D4"/>
      <sheetName val="Retro"/>
      <sheetName val="trator d6"/>
      <sheetName val="trator d4"/>
      <sheetName val="retro1"/>
      <sheetName val="Planilha2"/>
    </sheetNames>
    <sheetDataSet>
      <sheetData sheetId="0" refreshError="1"/>
      <sheetData sheetId="1" refreshError="1">
        <row r="15">
          <cell r="V15">
            <v>104.16666666666667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23">
          <cell r="E23">
            <v>1.3118319203833395</v>
          </cell>
        </row>
        <row r="24">
          <cell r="A24">
            <v>9.9599999999999911E-2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ETOR"/>
      <sheetName val="VARREDOR"/>
      <sheetName val="MOTORISTA"/>
      <sheetName val="ENC I"/>
      <sheetName val="AUX I"/>
      <sheetName val="GER I"/>
      <sheetName val="VIGIA"/>
      <sheetName val="ELET"/>
      <sheetName val="SOLDADOR"/>
      <sheetName val="BOR"/>
      <sheetName val="MEC"/>
      <sheetName val="orientador"/>
      <sheetName val="cavalo"/>
      <sheetName val="CARRETA"/>
      <sheetName val="furgão"/>
      <sheetName val="carroc"/>
      <sheetName val="Trator1"/>
      <sheetName val="Triturador"/>
      <sheetName val="basculante 12"/>
      <sheetName val="BASCULANTE 6"/>
      <sheetName val="COMPACTADOR 15 m3"/>
      <sheetName val="COMPACTADOR II"/>
      <sheetName val="VARRIÇÃO"/>
      <sheetName val="DOMICILIAR"/>
      <sheetName val="entulho Man"/>
      <sheetName val="Podação"/>
      <sheetName val="manual"/>
      <sheetName val="saúde"/>
      <sheetName val="CAPINAÇÃO"/>
      <sheetName val="pintura"/>
      <sheetName val="diversos"/>
      <sheetName val="pá"/>
      <sheetName val="REtro"/>
      <sheetName val="Loc caçamba"/>
      <sheetName val="Praias"/>
      <sheetName val="transb"/>
      <sheetName val="TRANSP"/>
      <sheetName val="DESTINO"/>
      <sheetName val="Pessoal"/>
      <sheetName val="Caç 12m3"/>
      <sheetName val="escavadeira"/>
      <sheetName val="Adm1"/>
      <sheetName val="PREÇOS"/>
      <sheetName val="RESUMO"/>
      <sheetName val="RESUMO1"/>
      <sheetName val="impostos"/>
      <sheetName val="Encargos"/>
      <sheetName val="memória"/>
      <sheetName val="Plan4"/>
    </sheetNames>
    <sheetDataSet>
      <sheetData sheetId="0">
        <row r="31">
          <cell r="B31">
            <v>1596.7960078789079</v>
          </cell>
        </row>
      </sheetData>
      <sheetData sheetId="1" refreshError="1"/>
      <sheetData sheetId="2">
        <row r="31">
          <cell r="B31">
            <v>2104.0492135930094</v>
          </cell>
        </row>
      </sheetData>
      <sheetData sheetId="3">
        <row r="31">
          <cell r="B31">
            <v>1837.7907128694346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1">
          <cell r="B61">
            <v>15356.716583333333</v>
          </cell>
        </row>
      </sheetData>
      <sheetData sheetId="13">
        <row r="61">
          <cell r="B61">
            <v>4944.09</v>
          </cell>
        </row>
      </sheetData>
      <sheetData sheetId="14" refreshError="1"/>
      <sheetData sheetId="15">
        <row r="47">
          <cell r="B47">
            <v>65.866666666666674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88">
          <cell r="D88">
            <v>4840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5">
          <cell r="F5">
            <v>21.666666666666668</v>
          </cell>
        </row>
        <row r="6">
          <cell r="F6">
            <v>6</v>
          </cell>
        </row>
        <row r="7">
          <cell r="F7">
            <v>6</v>
          </cell>
        </row>
        <row r="8">
          <cell r="F8">
            <v>6</v>
          </cell>
        </row>
        <row r="10">
          <cell r="F10">
            <v>20</v>
          </cell>
        </row>
        <row r="12">
          <cell r="F12">
            <v>2.4166666666666665</v>
          </cell>
        </row>
        <row r="14">
          <cell r="F14">
            <v>5.333333333333333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ETOR"/>
      <sheetName val="VARREDOR"/>
      <sheetName val="MOTORISTA"/>
      <sheetName val="ENC I"/>
      <sheetName val="AUX I"/>
      <sheetName val="GER I"/>
      <sheetName val="VIGIA"/>
      <sheetName val="orientador"/>
      <sheetName val="op.balança"/>
      <sheetName val="furgão"/>
      <sheetName val="BASCULANTE 6"/>
      <sheetName val="COMPACTADOR 15 m3"/>
      <sheetName val="VARRIÇÃO"/>
      <sheetName val="DOMICILIAR"/>
      <sheetName val="entulho Man"/>
      <sheetName val="saúde"/>
      <sheetName val="CAPINAÇÃO"/>
      <sheetName val="pintura"/>
      <sheetName val="diversos"/>
      <sheetName val="Aterro"/>
      <sheetName val="pá mecânica"/>
      <sheetName val="loc. caçamba"/>
      <sheetName val="Adm1"/>
      <sheetName val="PREÇOS"/>
      <sheetName val="RESUMO"/>
      <sheetName val="impostos"/>
      <sheetName val="Encargos"/>
      <sheetName val="memória"/>
      <sheetName val="B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C12">
            <v>26.636699413958475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7">
          <cell r="A17">
            <v>8.6500000000000007E-2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ória"/>
      <sheetName val="Plan2"/>
      <sheetName val="Plan3"/>
      <sheetName val="Plan4"/>
    </sheetNames>
    <sheetDataSet>
      <sheetData sheetId="0">
        <row r="21">
          <cell r="B21">
            <v>20</v>
          </cell>
        </row>
        <row r="26">
          <cell r="B26">
            <v>0.2</v>
          </cell>
        </row>
        <row r="28">
          <cell r="B28">
            <v>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6"/>
  <sheetViews>
    <sheetView tabSelected="1" view="pageBreakPreview" zoomScaleSheetLayoutView="100" workbookViewId="0">
      <selection activeCell="K12" sqref="K12"/>
    </sheetView>
  </sheetViews>
  <sheetFormatPr defaultColWidth="12" defaultRowHeight="12.75" x14ac:dyDescent="0.2"/>
  <cols>
    <col min="1" max="1" width="7.5" style="252" customWidth="1"/>
    <col min="2" max="2" width="51.6640625" style="132" customWidth="1"/>
    <col min="3" max="3" width="14.83203125" style="69" customWidth="1"/>
    <col min="4" max="4" width="12.6640625" style="132" customWidth="1"/>
    <col min="5" max="5" width="14.83203125" style="132" customWidth="1"/>
    <col min="6" max="6" width="18.6640625" style="132" customWidth="1"/>
    <col min="7" max="7" width="16.83203125" style="132" hidden="1" customWidth="1"/>
    <col min="8" max="8" width="16.83203125" style="132" customWidth="1"/>
    <col min="9" max="9" width="16" style="321" customWidth="1"/>
    <col min="10" max="10" width="8.83203125" style="47" customWidth="1"/>
    <col min="11" max="11" width="11.33203125" style="69" bestFit="1" customWidth="1"/>
    <col min="12" max="12" width="13.33203125" style="69" customWidth="1"/>
    <col min="13" max="13" width="15.6640625" style="69" customWidth="1"/>
    <col min="14" max="14" width="12" style="132"/>
    <col min="15" max="15" width="13" style="69" customWidth="1"/>
    <col min="16" max="16384" width="12" style="132"/>
  </cols>
  <sheetData>
    <row r="2" spans="1:15" x14ac:dyDescent="0.2">
      <c r="A2" s="331" t="s">
        <v>564</v>
      </c>
      <c r="B2" s="331"/>
      <c r="C2" s="331"/>
      <c r="D2" s="331"/>
      <c r="E2" s="331"/>
      <c r="F2" s="331"/>
      <c r="G2" s="257"/>
      <c r="H2" s="257"/>
    </row>
    <row r="3" spans="1:15" x14ac:dyDescent="0.2">
      <c r="A3" s="331"/>
      <c r="B3" s="331"/>
      <c r="C3" s="331"/>
      <c r="D3" s="331"/>
      <c r="E3" s="331"/>
      <c r="F3" s="331"/>
      <c r="G3" s="257"/>
      <c r="H3" s="257"/>
    </row>
    <row r="4" spans="1:15" ht="18" customHeight="1" x14ac:dyDescent="0.2">
      <c r="A4" s="331"/>
      <c r="B4" s="331"/>
      <c r="C4" s="331"/>
      <c r="D4" s="331"/>
      <c r="E4" s="331"/>
      <c r="F4" s="331"/>
      <c r="G4" s="257"/>
      <c r="H4" s="257"/>
    </row>
    <row r="5" spans="1:15" ht="24" customHeight="1" x14ac:dyDescent="0.2">
      <c r="A5" s="333" t="s">
        <v>60</v>
      </c>
      <c r="B5" s="334" t="s">
        <v>61</v>
      </c>
      <c r="C5" s="335" t="s">
        <v>62</v>
      </c>
      <c r="D5" s="333" t="s">
        <v>63</v>
      </c>
      <c r="E5" s="336" t="s">
        <v>59</v>
      </c>
      <c r="F5" s="333"/>
      <c r="G5" s="257"/>
      <c r="H5" s="257"/>
      <c r="K5" s="258"/>
    </row>
    <row r="6" spans="1:15" ht="24" customHeight="1" x14ac:dyDescent="0.2">
      <c r="A6" s="333"/>
      <c r="B6" s="334"/>
      <c r="C6" s="335"/>
      <c r="D6" s="333"/>
      <c r="E6" s="259" t="s">
        <v>64</v>
      </c>
      <c r="F6" s="259" t="s">
        <v>65</v>
      </c>
      <c r="G6" s="260"/>
      <c r="H6" s="260"/>
      <c r="K6" s="258"/>
    </row>
    <row r="7" spans="1:15" s="108" customFormat="1" ht="27.95" customHeight="1" x14ac:dyDescent="0.2">
      <c r="A7" s="241">
        <v>1</v>
      </c>
      <c r="B7" s="242" t="s">
        <v>476</v>
      </c>
      <c r="C7" s="243">
        <f>VARRIÇÃO!D88</f>
        <v>1642.3063400000001</v>
      </c>
      <c r="D7" s="244" t="s">
        <v>45</v>
      </c>
      <c r="E7" s="261">
        <f>VARRIÇÃO!D89</f>
        <v>110.19</v>
      </c>
      <c r="F7" s="262">
        <f>C7*E7</f>
        <v>180965.73560460002</v>
      </c>
      <c r="G7" s="263"/>
      <c r="H7" s="263"/>
      <c r="I7" s="322"/>
      <c r="J7" s="69"/>
      <c r="K7" s="264"/>
      <c r="L7" s="264"/>
      <c r="M7" s="264"/>
      <c r="N7" s="264"/>
      <c r="O7" s="265"/>
    </row>
    <row r="8" spans="1:15" s="108" customFormat="1" ht="27.95" customHeight="1" x14ac:dyDescent="0.2">
      <c r="A8" s="244">
        <v>2</v>
      </c>
      <c r="B8" s="242" t="s">
        <v>563</v>
      </c>
      <c r="C8" s="243">
        <f>DOMICILIAR!D107</f>
        <v>2338.1634471124435</v>
      </c>
      <c r="D8" s="244" t="s">
        <v>230</v>
      </c>
      <c r="E8" s="261">
        <f>DOMICILIAR!D108</f>
        <v>217.15</v>
      </c>
      <c r="F8" s="262">
        <f t="shared" ref="F8:F17" si="0">C8*E8</f>
        <v>507732.19254046713</v>
      </c>
      <c r="G8" s="263"/>
      <c r="H8" s="263"/>
      <c r="I8" s="322"/>
      <c r="J8" s="69"/>
      <c r="K8" s="264"/>
      <c r="L8" s="264"/>
      <c r="M8" s="264"/>
      <c r="N8" s="264"/>
      <c r="O8" s="265"/>
    </row>
    <row r="9" spans="1:15" s="108" customFormat="1" ht="27.95" customHeight="1" x14ac:dyDescent="0.2">
      <c r="A9" s="241">
        <v>3</v>
      </c>
      <c r="B9" s="242" t="s">
        <v>658</v>
      </c>
      <c r="C9" s="243">
        <f>volumosos!D96</f>
        <v>469.43999999999994</v>
      </c>
      <c r="D9" s="244" t="s">
        <v>230</v>
      </c>
      <c r="E9" s="261">
        <f>volumosos!D97</f>
        <v>124.91</v>
      </c>
      <c r="F9" s="262">
        <f t="shared" si="0"/>
        <v>58637.75039999999</v>
      </c>
      <c r="G9" s="263"/>
      <c r="H9" s="263"/>
      <c r="I9" s="322"/>
      <c r="J9" s="69"/>
      <c r="K9" s="264"/>
      <c r="L9" s="264"/>
      <c r="M9" s="264"/>
      <c r="N9" s="264"/>
      <c r="O9" s="265"/>
    </row>
    <row r="10" spans="1:15" s="108" customFormat="1" ht="27.95" customHeight="1" x14ac:dyDescent="0.2">
      <c r="A10" s="241">
        <v>4</v>
      </c>
      <c r="B10" s="242" t="s">
        <v>659</v>
      </c>
      <c r="C10" s="243">
        <f>'vol1'!D96</f>
        <v>1043.1999999999998</v>
      </c>
      <c r="D10" s="244" t="s">
        <v>230</v>
      </c>
      <c r="E10" s="261">
        <f>'vol1'!D97</f>
        <v>142.93</v>
      </c>
      <c r="F10" s="262">
        <f t="shared" si="0"/>
        <v>149104.57599999997</v>
      </c>
      <c r="G10" s="263"/>
      <c r="H10" s="263"/>
      <c r="I10" s="322"/>
      <c r="J10" s="69"/>
      <c r="K10" s="264"/>
      <c r="L10" s="264"/>
      <c r="M10" s="264"/>
      <c r="N10" s="264"/>
      <c r="O10" s="265"/>
    </row>
    <row r="11" spans="1:15" s="108" customFormat="1" ht="27.95" customHeight="1" x14ac:dyDescent="0.2">
      <c r="A11" s="241">
        <v>5</v>
      </c>
      <c r="B11" s="242" t="s">
        <v>558</v>
      </c>
      <c r="C11" s="243">
        <f>Podação!D91</f>
        <v>100</v>
      </c>
      <c r="D11" s="244" t="s">
        <v>230</v>
      </c>
      <c r="E11" s="261">
        <f>Podação!D92</f>
        <v>292.4508463633814</v>
      </c>
      <c r="F11" s="262">
        <f t="shared" si="0"/>
        <v>29245.084636338139</v>
      </c>
      <c r="G11" s="263"/>
      <c r="H11" s="263"/>
      <c r="I11" s="322"/>
      <c r="J11" s="69"/>
      <c r="K11" s="264"/>
      <c r="L11" s="264"/>
      <c r="M11" s="264"/>
      <c r="N11" s="264"/>
      <c r="O11" s="265"/>
    </row>
    <row r="12" spans="1:15" s="108" customFormat="1" ht="27.95" customHeight="1" x14ac:dyDescent="0.2">
      <c r="A12" s="241">
        <v>6</v>
      </c>
      <c r="B12" s="242" t="s">
        <v>597</v>
      </c>
      <c r="C12" s="243">
        <f>ENSACADA!D90</f>
        <v>1</v>
      </c>
      <c r="D12" s="244" t="s">
        <v>443</v>
      </c>
      <c r="E12" s="261">
        <f>ENSACADA!D91</f>
        <v>61671.95</v>
      </c>
      <c r="F12" s="262">
        <f t="shared" si="0"/>
        <v>61671.95</v>
      </c>
      <c r="G12" s="263"/>
      <c r="H12" s="263"/>
      <c r="I12" s="322"/>
      <c r="J12" s="69"/>
      <c r="K12" s="264"/>
      <c r="L12" s="264"/>
      <c r="M12" s="264"/>
      <c r="N12" s="264"/>
      <c r="O12" s="265"/>
    </row>
    <row r="13" spans="1:15" s="108" customFormat="1" ht="27.95" customHeight="1" x14ac:dyDescent="0.2">
      <c r="A13" s="241">
        <v>7</v>
      </c>
      <c r="B13" s="242" t="s">
        <v>343</v>
      </c>
      <c r="C13" s="243">
        <f>CAPINAÇÃO!D89</f>
        <v>20</v>
      </c>
      <c r="D13" s="244" t="s">
        <v>45</v>
      </c>
      <c r="E13" s="261">
        <f>CAPINAÇÃO!D90</f>
        <v>2489.48</v>
      </c>
      <c r="F13" s="262">
        <f t="shared" si="0"/>
        <v>49789.599999999999</v>
      </c>
      <c r="G13" s="263"/>
      <c r="H13" s="263"/>
      <c r="I13" s="322"/>
      <c r="J13" s="69"/>
      <c r="K13" s="264"/>
      <c r="L13" s="264"/>
      <c r="M13" s="264"/>
      <c r="N13" s="264"/>
      <c r="O13" s="265"/>
    </row>
    <row r="14" spans="1:15" s="108" customFormat="1" ht="27.95" customHeight="1" x14ac:dyDescent="0.2">
      <c r="A14" s="241">
        <v>8</v>
      </c>
      <c r="B14" s="242" t="s">
        <v>327</v>
      </c>
      <c r="C14" s="243">
        <f>pintura!D68</f>
        <v>20</v>
      </c>
      <c r="D14" s="244" t="s">
        <v>45</v>
      </c>
      <c r="E14" s="261">
        <f>pintura!D69</f>
        <v>1123.69</v>
      </c>
      <c r="F14" s="262">
        <f t="shared" si="0"/>
        <v>22473.800000000003</v>
      </c>
      <c r="G14" s="263"/>
      <c r="H14" s="263"/>
      <c r="I14" s="322"/>
      <c r="J14" s="69"/>
      <c r="K14" s="264"/>
      <c r="L14" s="264"/>
      <c r="M14" s="264"/>
      <c r="N14" s="264"/>
      <c r="O14" s="265"/>
    </row>
    <row r="15" spans="1:15" s="108" customFormat="1" ht="27.95" customHeight="1" x14ac:dyDescent="0.2">
      <c r="A15" s="241">
        <v>9</v>
      </c>
      <c r="B15" s="242" t="s">
        <v>488</v>
      </c>
      <c r="C15" s="243">
        <f>diversos!D89</f>
        <v>1</v>
      </c>
      <c r="D15" s="244" t="s">
        <v>443</v>
      </c>
      <c r="E15" s="261">
        <f>diversos!D90</f>
        <v>83166.52</v>
      </c>
      <c r="F15" s="262">
        <f>C15*E15</f>
        <v>83166.52</v>
      </c>
      <c r="G15" s="263"/>
      <c r="H15" s="263"/>
      <c r="I15" s="323"/>
      <c r="J15" s="69"/>
      <c r="K15" s="264"/>
      <c r="L15" s="264"/>
      <c r="M15" s="264"/>
      <c r="N15" s="264"/>
    </row>
    <row r="16" spans="1:15" s="108" customFormat="1" ht="27.95" customHeight="1" x14ac:dyDescent="0.2">
      <c r="A16" s="241">
        <v>10</v>
      </c>
      <c r="B16" s="242" t="s">
        <v>660</v>
      </c>
      <c r="C16" s="243">
        <f>TRANSP!D107</f>
        <v>2338.1634471124435</v>
      </c>
      <c r="D16" s="244" t="s">
        <v>230</v>
      </c>
      <c r="E16" s="261">
        <f>TRANSP!D108</f>
        <v>83.41</v>
      </c>
      <c r="F16" s="262">
        <f>C16*E16</f>
        <v>195026.21312364889</v>
      </c>
      <c r="G16" s="263"/>
      <c r="H16" s="263"/>
      <c r="I16" s="323"/>
      <c r="J16" s="69"/>
      <c r="K16" s="264"/>
      <c r="L16" s="264"/>
      <c r="M16" s="264"/>
      <c r="N16" s="264"/>
    </row>
    <row r="17" spans="1:15" s="108" customFormat="1" ht="27.95" customHeight="1" x14ac:dyDescent="0.2">
      <c r="A17" s="241">
        <v>11</v>
      </c>
      <c r="B17" s="242" t="s">
        <v>474</v>
      </c>
      <c r="C17" s="243">
        <v>1</v>
      </c>
      <c r="D17" s="248" t="s">
        <v>595</v>
      </c>
      <c r="E17" s="261">
        <f>'Adm1'!C172</f>
        <v>63167.27</v>
      </c>
      <c r="F17" s="262">
        <f t="shared" si="0"/>
        <v>63167.27</v>
      </c>
      <c r="G17" s="263"/>
      <c r="H17" s="263"/>
      <c r="I17" s="323"/>
      <c r="J17" s="69"/>
      <c r="K17" s="264"/>
      <c r="L17" s="264"/>
      <c r="M17" s="264"/>
      <c r="N17" s="264"/>
    </row>
    <row r="18" spans="1:15" s="108" customFormat="1" ht="22.15" customHeight="1" x14ac:dyDescent="0.2">
      <c r="A18" s="266"/>
      <c r="B18" s="267"/>
      <c r="C18" s="268"/>
      <c r="D18" s="269"/>
      <c r="E18" s="261"/>
      <c r="F18" s="262"/>
      <c r="G18" s="263"/>
      <c r="H18" s="263"/>
      <c r="I18" s="323"/>
      <c r="J18" s="69"/>
      <c r="K18" s="264"/>
      <c r="L18" s="264"/>
      <c r="M18" s="264"/>
      <c r="N18" s="264"/>
    </row>
    <row r="19" spans="1:15" s="108" customFormat="1" ht="22.15" customHeight="1" x14ac:dyDescent="0.2">
      <c r="A19" s="266"/>
      <c r="B19" s="245" t="s">
        <v>188</v>
      </c>
      <c r="C19" s="270"/>
      <c r="D19" s="245"/>
      <c r="E19" s="271"/>
      <c r="F19" s="272">
        <f>SUM(F7:G17)</f>
        <v>1400980.6923050543</v>
      </c>
      <c r="G19" s="273"/>
      <c r="H19" s="273"/>
      <c r="I19" s="324"/>
      <c r="J19" s="274"/>
      <c r="K19" s="275"/>
      <c r="L19" s="264"/>
      <c r="M19" s="264"/>
      <c r="N19" s="264"/>
    </row>
    <row r="20" spans="1:15" s="108" customFormat="1" ht="22.15" customHeight="1" x14ac:dyDescent="0.2">
      <c r="A20" s="266"/>
      <c r="B20" s="245" t="s">
        <v>675</v>
      </c>
      <c r="C20" s="270"/>
      <c r="D20" s="245"/>
      <c r="E20" s="276"/>
      <c r="F20" s="277">
        <f>F19*12</f>
        <v>16811768.30766065</v>
      </c>
      <c r="G20" s="278"/>
      <c r="H20" s="278"/>
      <c r="I20" s="325"/>
      <c r="J20" s="279"/>
      <c r="K20" s="264"/>
      <c r="L20" s="264"/>
      <c r="N20" s="264"/>
    </row>
    <row r="21" spans="1:15" ht="36" customHeight="1" x14ac:dyDescent="0.2">
      <c r="A21" s="332"/>
      <c r="B21" s="332"/>
      <c r="C21" s="332"/>
      <c r="D21" s="332"/>
      <c r="E21" s="332"/>
      <c r="F21" s="332"/>
      <c r="G21" s="256"/>
      <c r="H21" s="256"/>
      <c r="M21" s="132"/>
      <c r="N21" s="69"/>
      <c r="O21" s="132"/>
    </row>
    <row r="22" spans="1:15" x14ac:dyDescent="0.2">
      <c r="E22" s="280"/>
      <c r="F22" s="52"/>
      <c r="G22" s="52"/>
      <c r="H22" s="52"/>
      <c r="M22" s="132"/>
      <c r="N22" s="69"/>
      <c r="O22" s="132"/>
    </row>
    <row r="23" spans="1:15" x14ac:dyDescent="0.2">
      <c r="E23" s="280"/>
      <c r="F23" s="255"/>
      <c r="G23" s="281"/>
      <c r="H23" s="255"/>
      <c r="M23" s="132"/>
      <c r="N23" s="69"/>
      <c r="O23" s="132"/>
    </row>
    <row r="24" spans="1:15" x14ac:dyDescent="0.2">
      <c r="H24" s="282"/>
      <c r="M24" s="132"/>
      <c r="N24" s="69"/>
      <c r="O24" s="132"/>
    </row>
    <row r="25" spans="1:15" x14ac:dyDescent="0.2">
      <c r="F25" s="53"/>
      <c r="H25" s="282"/>
      <c r="M25" s="132"/>
      <c r="N25" s="69"/>
      <c r="O25" s="132"/>
    </row>
    <row r="26" spans="1:15" x14ac:dyDescent="0.2">
      <c r="B26" s="283"/>
      <c r="F26" s="52"/>
      <c r="G26" s="52"/>
      <c r="H26" s="52"/>
      <c r="M26" s="132"/>
      <c r="N26" s="69"/>
      <c r="O26" s="132"/>
    </row>
    <row r="27" spans="1:15" x14ac:dyDescent="0.2">
      <c r="B27" s="283"/>
      <c r="F27" s="52"/>
      <c r="G27" s="52"/>
      <c r="H27" s="52"/>
      <c r="M27" s="132"/>
      <c r="N27" s="69"/>
      <c r="O27" s="132"/>
    </row>
    <row r="28" spans="1:15" x14ac:dyDescent="0.2">
      <c r="B28" s="253"/>
      <c r="F28" s="53">
        <f>F19*0.75</f>
        <v>1050735.5192287907</v>
      </c>
      <c r="M28" s="132"/>
      <c r="N28" s="69"/>
      <c r="O28" s="132"/>
    </row>
    <row r="29" spans="1:15" x14ac:dyDescent="0.2">
      <c r="B29" s="253"/>
      <c r="F29" s="53"/>
      <c r="M29" s="132"/>
      <c r="N29" s="69"/>
      <c r="O29" s="132"/>
    </row>
    <row r="30" spans="1:15" x14ac:dyDescent="0.2">
      <c r="B30" s="251"/>
      <c r="F30" s="53"/>
      <c r="J30" s="284"/>
      <c r="M30" s="132"/>
      <c r="N30" s="69"/>
      <c r="O30" s="132"/>
    </row>
    <row r="31" spans="1:15" x14ac:dyDescent="0.2">
      <c r="B31" s="283"/>
      <c r="F31" s="69"/>
      <c r="G31" s="69"/>
      <c r="H31" s="69"/>
      <c r="J31" s="284"/>
      <c r="M31" s="132"/>
      <c r="N31" s="69"/>
      <c r="O31" s="132"/>
    </row>
    <row r="32" spans="1:15" x14ac:dyDescent="0.2">
      <c r="B32" s="253"/>
      <c r="J32" s="284"/>
      <c r="M32" s="132"/>
      <c r="N32" s="69"/>
      <c r="O32" s="132"/>
    </row>
    <row r="33" spans="2:15" x14ac:dyDescent="0.2">
      <c r="B33" s="251"/>
      <c r="F33" s="53"/>
      <c r="J33" s="284"/>
      <c r="M33" s="132"/>
      <c r="N33" s="69"/>
      <c r="O33" s="132"/>
    </row>
    <row r="34" spans="2:15" x14ac:dyDescent="0.2">
      <c r="B34" s="283"/>
      <c r="F34" s="69"/>
      <c r="G34" s="69"/>
      <c r="H34" s="69"/>
      <c r="J34" s="284"/>
      <c r="M34" s="132"/>
      <c r="N34" s="69"/>
      <c r="O34" s="132"/>
    </row>
    <row r="35" spans="2:15" x14ac:dyDescent="0.2">
      <c r="B35" s="253"/>
      <c r="J35" s="284"/>
      <c r="M35" s="132"/>
      <c r="N35" s="69"/>
      <c r="O35" s="132"/>
    </row>
    <row r="36" spans="2:15" x14ac:dyDescent="0.2">
      <c r="B36" s="253"/>
      <c r="J36" s="284"/>
      <c r="M36" s="132"/>
      <c r="N36" s="69"/>
      <c r="O36" s="132"/>
    </row>
    <row r="37" spans="2:15" x14ac:dyDescent="0.2">
      <c r="B37" s="253"/>
    </row>
    <row r="38" spans="2:15" x14ac:dyDescent="0.2">
      <c r="B38" s="253"/>
    </row>
    <row r="39" spans="2:15" x14ac:dyDescent="0.2">
      <c r="B39" s="253"/>
      <c r="C39" s="254"/>
    </row>
    <row r="40" spans="2:15" x14ac:dyDescent="0.2">
      <c r="B40" s="253"/>
    </row>
    <row r="41" spans="2:15" x14ac:dyDescent="0.2">
      <c r="B41" s="283"/>
    </row>
    <row r="42" spans="2:15" x14ac:dyDescent="0.2">
      <c r="B42" s="283"/>
    </row>
    <row r="43" spans="2:15" x14ac:dyDescent="0.2">
      <c r="B43" s="253"/>
    </row>
    <row r="44" spans="2:15" x14ac:dyDescent="0.2">
      <c r="B44" s="283"/>
      <c r="I44" s="104"/>
      <c r="J44" s="285"/>
    </row>
    <row r="45" spans="2:15" x14ac:dyDescent="0.2">
      <c r="B45" s="283"/>
    </row>
    <row r="46" spans="2:15" x14ac:dyDescent="0.2">
      <c r="B46" s="103"/>
    </row>
  </sheetData>
  <mergeCells count="9">
    <mergeCell ref="A2:F2"/>
    <mergeCell ref="A21:F21"/>
    <mergeCell ref="A4:F4"/>
    <mergeCell ref="A5:A6"/>
    <mergeCell ref="B5:B6"/>
    <mergeCell ref="D5:D6"/>
    <mergeCell ref="C5:C6"/>
    <mergeCell ref="E5:F5"/>
    <mergeCell ref="A3:F3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              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view="pageBreakPreview" topLeftCell="A6" zoomScaleSheetLayoutView="100" workbookViewId="0">
      <selection activeCell="A9" sqref="A9"/>
    </sheetView>
  </sheetViews>
  <sheetFormatPr defaultColWidth="12" defaultRowHeight="12.75" x14ac:dyDescent="0.2"/>
  <cols>
    <col min="1" max="1" width="62.1640625" style="11" customWidth="1"/>
    <col min="2" max="2" width="18.33203125" style="11" customWidth="1"/>
    <col min="3" max="3" width="11" style="11" customWidth="1"/>
    <col min="4" max="16384" width="12" style="11"/>
  </cols>
  <sheetData>
    <row r="1" spans="1:6" ht="18.75" hidden="1" x14ac:dyDescent="0.3">
      <c r="A1" s="338" t="s">
        <v>226</v>
      </c>
      <c r="B1" s="338"/>
      <c r="C1" s="135"/>
      <c r="D1" s="135"/>
      <c r="E1" s="135"/>
      <c r="F1" s="10"/>
    </row>
    <row r="2" spans="1:6" ht="18" hidden="1" customHeight="1" x14ac:dyDescent="0.25">
      <c r="A2" s="338"/>
      <c r="B2" s="338"/>
      <c r="C2" s="135"/>
      <c r="D2" s="135"/>
      <c r="E2" s="135"/>
      <c r="F2" s="12"/>
    </row>
    <row r="3" spans="1:6" hidden="1" x14ac:dyDescent="0.2">
      <c r="A3" s="13"/>
      <c r="B3" s="13"/>
      <c r="C3" s="13"/>
      <c r="D3" s="13"/>
      <c r="E3" s="13"/>
      <c r="F3" s="13"/>
    </row>
    <row r="4" spans="1:6" hidden="1" x14ac:dyDescent="0.2">
      <c r="A4" s="13"/>
      <c r="B4" s="13"/>
      <c r="C4" s="13"/>
      <c r="D4" s="13"/>
      <c r="E4" s="13"/>
      <c r="F4" s="13"/>
    </row>
    <row r="5" spans="1:6" hidden="1" x14ac:dyDescent="0.2">
      <c r="A5" s="138" t="s">
        <v>195</v>
      </c>
      <c r="B5" s="138" t="s">
        <v>222</v>
      </c>
      <c r="C5" s="13"/>
      <c r="E5" s="13"/>
      <c r="F5" s="13"/>
    </row>
    <row r="6" spans="1:6" x14ac:dyDescent="0.2">
      <c r="A6" s="12"/>
      <c r="B6" s="13"/>
      <c r="C6" s="13"/>
      <c r="D6" s="13"/>
      <c r="E6" s="13"/>
    </row>
    <row r="7" spans="1:6" x14ac:dyDescent="0.2">
      <c r="A7" s="339" t="s">
        <v>0</v>
      </c>
      <c r="B7" s="339"/>
      <c r="C7" s="136"/>
      <c r="D7" s="136"/>
      <c r="E7" s="136"/>
    </row>
    <row r="8" spans="1:6" x14ac:dyDescent="0.2">
      <c r="A8" s="16"/>
      <c r="B8" s="16"/>
    </row>
    <row r="9" spans="1:6" x14ac:dyDescent="0.2">
      <c r="A9" s="137" t="s">
        <v>354</v>
      </c>
      <c r="B9" s="18"/>
      <c r="E9" s="19"/>
    </row>
    <row r="10" spans="1:6" x14ac:dyDescent="0.2">
      <c r="A10" s="16"/>
      <c r="B10" s="16"/>
    </row>
    <row r="12" spans="1:6" x14ac:dyDescent="0.2">
      <c r="A12" s="20" t="s">
        <v>1</v>
      </c>
    </row>
    <row r="14" spans="1:6" x14ac:dyDescent="0.2">
      <c r="A14" s="21" t="s">
        <v>367</v>
      </c>
      <c r="B14" s="22">
        <f>DADOS!D9</f>
        <v>1326.2695636363637</v>
      </c>
      <c r="C14" s="11" t="s">
        <v>131</v>
      </c>
    </row>
    <row r="15" spans="1:6" x14ac:dyDescent="0.2">
      <c r="A15" s="21" t="s">
        <v>198</v>
      </c>
      <c r="B15" s="32"/>
      <c r="C15" s="11" t="s">
        <v>131</v>
      </c>
    </row>
    <row r="16" spans="1:6" x14ac:dyDescent="0.2">
      <c r="A16" s="23" t="s">
        <v>4</v>
      </c>
      <c r="B16" s="22">
        <f>B14+B15</f>
        <v>1326.2695636363637</v>
      </c>
      <c r="C16" s="11" t="s">
        <v>131</v>
      </c>
    </row>
    <row r="17" spans="1:4" x14ac:dyDescent="0.2">
      <c r="A17" s="21" t="s">
        <v>5</v>
      </c>
      <c r="B17" s="24">
        <f>COLETOR!B16</f>
        <v>81</v>
      </c>
      <c r="C17" s="11" t="s">
        <v>232</v>
      </c>
    </row>
    <row r="18" spans="1:4" x14ac:dyDescent="0.2">
      <c r="A18" s="21" t="s">
        <v>6</v>
      </c>
      <c r="B18" s="22">
        <f>+B16+(B16*B17/100)</f>
        <v>2400.5479101818182</v>
      </c>
      <c r="C18" s="11" t="s">
        <v>131</v>
      </c>
    </row>
    <row r="20" spans="1:4" x14ac:dyDescent="0.2">
      <c r="A20" s="20" t="s">
        <v>90</v>
      </c>
    </row>
    <row r="21" spans="1:4" x14ac:dyDescent="0.2">
      <c r="A21" s="11" t="s">
        <v>7</v>
      </c>
      <c r="C21" s="16"/>
      <c r="D21" s="16"/>
    </row>
    <row r="22" spans="1:4" x14ac:dyDescent="0.2">
      <c r="A22" s="21" t="s">
        <v>112</v>
      </c>
      <c r="B22" s="22">
        <f>B23+B24+B25+B26</f>
        <v>83.4</v>
      </c>
      <c r="C22" s="16" t="s">
        <v>131</v>
      </c>
      <c r="D22" s="16"/>
    </row>
    <row r="23" spans="1:4" x14ac:dyDescent="0.2">
      <c r="A23" s="21" t="s">
        <v>158</v>
      </c>
      <c r="B23" s="22">
        <f>PREÇOS!J23</f>
        <v>55</v>
      </c>
      <c r="C23" s="16" t="s">
        <v>131</v>
      </c>
      <c r="D23" s="16"/>
    </row>
    <row r="24" spans="1:4" x14ac:dyDescent="0.2">
      <c r="A24" s="21" t="s">
        <v>211</v>
      </c>
      <c r="B24" s="22">
        <f>PREÇOS!J27</f>
        <v>28.400000000000002</v>
      </c>
      <c r="C24" s="16" t="s">
        <v>131</v>
      </c>
      <c r="D24" s="16"/>
    </row>
    <row r="25" spans="1:4" x14ac:dyDescent="0.2">
      <c r="A25" s="23" t="s">
        <v>159</v>
      </c>
      <c r="B25" s="22">
        <v>0</v>
      </c>
      <c r="C25" s="16"/>
      <c r="D25" s="16"/>
    </row>
    <row r="26" spans="1:4" x14ac:dyDescent="0.2">
      <c r="A26" s="23" t="s">
        <v>160</v>
      </c>
      <c r="B26" s="22">
        <v>0</v>
      </c>
      <c r="C26" s="16"/>
      <c r="D26" s="16"/>
    </row>
    <row r="27" spans="1:4" x14ac:dyDescent="0.2">
      <c r="A27" s="23" t="s">
        <v>239</v>
      </c>
      <c r="B27" s="25">
        <f>DADOS!D18</f>
        <v>302.39999999999998</v>
      </c>
      <c r="C27" s="16" t="s">
        <v>131</v>
      </c>
    </row>
    <row r="28" spans="1:4" x14ac:dyDescent="0.2">
      <c r="A28" s="23" t="s">
        <v>177</v>
      </c>
      <c r="B28" s="25"/>
      <c r="C28" s="16" t="s">
        <v>131</v>
      </c>
    </row>
    <row r="29" spans="1:4" x14ac:dyDescent="0.2">
      <c r="A29" s="23" t="s">
        <v>565</v>
      </c>
      <c r="B29" s="25">
        <f>COLETOR!B29</f>
        <v>41</v>
      </c>
      <c r="C29" s="11" t="s">
        <v>131</v>
      </c>
    </row>
    <row r="30" spans="1:4" x14ac:dyDescent="0.2">
      <c r="A30" s="23" t="s">
        <v>369</v>
      </c>
      <c r="B30" s="25">
        <f>B27+B22+B28+B29</f>
        <v>426.79999999999995</v>
      </c>
      <c r="C30" s="16" t="s">
        <v>131</v>
      </c>
    </row>
    <row r="32" spans="1:4" x14ac:dyDescent="0.2">
      <c r="A32" s="26" t="s">
        <v>9</v>
      </c>
      <c r="B32" s="27">
        <f>B30+B18</f>
        <v>2827.3479101818184</v>
      </c>
      <c r="C32" s="33" t="s">
        <v>131</v>
      </c>
    </row>
    <row r="33" spans="1:3" hidden="1" x14ac:dyDescent="0.2">
      <c r="A33" s="29" t="s">
        <v>313</v>
      </c>
      <c r="B33" s="27">
        <f>B32/220</f>
        <v>12.851581409917356</v>
      </c>
      <c r="C33" s="33" t="s">
        <v>307</v>
      </c>
    </row>
    <row r="34" spans="1:3" x14ac:dyDescent="0.2">
      <c r="A34" s="34"/>
      <c r="B34" s="35"/>
    </row>
    <row r="35" spans="1:3" x14ac:dyDescent="0.2">
      <c r="A35" s="137" t="str">
        <f>A9</f>
        <v>COMPOSIÇÃO AUXILIAR - VIGIA</v>
      </c>
    </row>
    <row r="37" spans="1:3" x14ac:dyDescent="0.2">
      <c r="A37" s="20" t="s">
        <v>1</v>
      </c>
    </row>
    <row r="39" spans="1:3" x14ac:dyDescent="0.2">
      <c r="A39" s="21" t="s">
        <v>367</v>
      </c>
      <c r="B39" s="22">
        <f>+B14</f>
        <v>1326.2695636363637</v>
      </c>
      <c r="C39" s="11" t="s">
        <v>131</v>
      </c>
    </row>
    <row r="40" spans="1:3" x14ac:dyDescent="0.2">
      <c r="A40" s="21" t="s">
        <v>311</v>
      </c>
      <c r="B40" s="22"/>
      <c r="C40" s="11" t="s">
        <v>131</v>
      </c>
    </row>
    <row r="41" spans="1:3" x14ac:dyDescent="0.2">
      <c r="A41" s="21" t="s">
        <v>312</v>
      </c>
      <c r="B41" s="22">
        <f>+(B39+B40)/220*0.2*110</f>
        <v>132.62695636363637</v>
      </c>
      <c r="C41" s="11" t="s">
        <v>131</v>
      </c>
    </row>
    <row r="42" spans="1:3" x14ac:dyDescent="0.2">
      <c r="A42" s="23" t="s">
        <v>184</v>
      </c>
      <c r="B42" s="22">
        <f>+B41+B39+B40</f>
        <v>1458.89652</v>
      </c>
      <c r="C42" s="11" t="s">
        <v>131</v>
      </c>
    </row>
    <row r="43" spans="1:3" x14ac:dyDescent="0.2">
      <c r="A43" s="21" t="s">
        <v>185</v>
      </c>
      <c r="B43" s="24">
        <f>B17</f>
        <v>81</v>
      </c>
      <c r="C43" s="11" t="s">
        <v>232</v>
      </c>
    </row>
    <row r="44" spans="1:3" x14ac:dyDescent="0.2">
      <c r="A44" s="21" t="s">
        <v>186</v>
      </c>
      <c r="B44" s="22">
        <f>+B42+(B42*B43/100)</f>
        <v>2640.6027012</v>
      </c>
      <c r="C44" s="11" t="s">
        <v>131</v>
      </c>
    </row>
    <row r="46" spans="1:3" x14ac:dyDescent="0.2">
      <c r="A46" s="20" t="s">
        <v>90</v>
      </c>
    </row>
    <row r="47" spans="1:3" x14ac:dyDescent="0.2">
      <c r="A47" s="11" t="s">
        <v>7</v>
      </c>
    </row>
    <row r="48" spans="1:3" x14ac:dyDescent="0.2">
      <c r="A48" s="21" t="s">
        <v>112</v>
      </c>
      <c r="B48" s="22">
        <f>B22</f>
        <v>83.4</v>
      </c>
      <c r="C48" s="11" t="s">
        <v>131</v>
      </c>
    </row>
    <row r="49" spans="1:3" x14ac:dyDescent="0.2">
      <c r="A49" s="21" t="s">
        <v>158</v>
      </c>
      <c r="B49" s="22">
        <f>B23</f>
        <v>55</v>
      </c>
      <c r="C49" s="11" t="s">
        <v>131</v>
      </c>
    </row>
    <row r="50" spans="1:3" x14ac:dyDescent="0.2">
      <c r="A50" s="21" t="s">
        <v>211</v>
      </c>
      <c r="B50" s="22">
        <f>B24</f>
        <v>28.400000000000002</v>
      </c>
      <c r="C50" s="11" t="s">
        <v>131</v>
      </c>
    </row>
    <row r="51" spans="1:3" x14ac:dyDescent="0.2">
      <c r="A51" s="23" t="s">
        <v>159</v>
      </c>
      <c r="B51" s="22">
        <f>PREÇOS!G47</f>
        <v>0</v>
      </c>
    </row>
    <row r="52" spans="1:3" x14ac:dyDescent="0.2">
      <c r="A52" s="23" t="s">
        <v>160</v>
      </c>
      <c r="B52" s="22">
        <v>0</v>
      </c>
    </row>
    <row r="53" spans="1:3" x14ac:dyDescent="0.2">
      <c r="A53" s="23" t="s">
        <v>239</v>
      </c>
      <c r="B53" s="25">
        <f>+B27</f>
        <v>302.39999999999998</v>
      </c>
      <c r="C53" s="11" t="s">
        <v>131</v>
      </c>
    </row>
    <row r="54" spans="1:3" x14ac:dyDescent="0.2">
      <c r="A54" s="23" t="s">
        <v>177</v>
      </c>
      <c r="B54" s="25"/>
      <c r="C54" s="11" t="s">
        <v>131</v>
      </c>
    </row>
    <row r="55" spans="1:3" x14ac:dyDescent="0.2">
      <c r="A55" s="23" t="s">
        <v>565</v>
      </c>
      <c r="B55" s="25">
        <f>VIGIA!B29</f>
        <v>41</v>
      </c>
      <c r="C55" s="11" t="s">
        <v>131</v>
      </c>
    </row>
    <row r="56" spans="1:3" x14ac:dyDescent="0.2">
      <c r="A56" s="23" t="s">
        <v>369</v>
      </c>
      <c r="B56" s="25">
        <f>B53+B48+B54+B55</f>
        <v>426.79999999999995</v>
      </c>
      <c r="C56" s="11" t="s">
        <v>131</v>
      </c>
    </row>
    <row r="57" spans="1:3" x14ac:dyDescent="0.2">
      <c r="A57" s="36"/>
      <c r="B57" s="36"/>
      <c r="C57" s="36"/>
    </row>
    <row r="58" spans="1:3" x14ac:dyDescent="0.2">
      <c r="A58" s="26" t="s">
        <v>9</v>
      </c>
      <c r="B58" s="27">
        <f>B56+B44</f>
        <v>3067.4027011999997</v>
      </c>
      <c r="C58" s="31" t="s">
        <v>131</v>
      </c>
    </row>
    <row r="59" spans="1:3" hidden="1" x14ac:dyDescent="0.2">
      <c r="A59" s="29" t="s">
        <v>313</v>
      </c>
      <c r="B59" s="27">
        <f>B58/220</f>
        <v>13.94273955090909</v>
      </c>
      <c r="C59" s="33" t="s">
        <v>307</v>
      </c>
    </row>
  </sheetData>
  <mergeCells count="3">
    <mergeCell ref="A1:B1"/>
    <mergeCell ref="A2:B2"/>
    <mergeCell ref="A7:B7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5"/>
  <sheetViews>
    <sheetView view="pageBreakPreview" topLeftCell="A5" workbookViewId="0">
      <selection activeCell="E27" sqref="E27"/>
    </sheetView>
  </sheetViews>
  <sheetFormatPr defaultColWidth="12" defaultRowHeight="12.75" x14ac:dyDescent="0.2"/>
  <cols>
    <col min="1" max="1" width="57.33203125" style="11" customWidth="1"/>
    <col min="2" max="2" width="17.83203125" style="11" customWidth="1"/>
    <col min="3" max="4" width="12" style="11" customWidth="1"/>
    <col min="5" max="5" width="14.6640625" style="11" customWidth="1"/>
    <col min="6" max="6" width="13.5" style="11" customWidth="1"/>
    <col min="7" max="7" width="14" style="63" customWidth="1"/>
    <col min="8" max="14" width="12" style="11"/>
    <col min="15" max="15" width="12" style="63"/>
    <col min="16" max="16384" width="12" style="11"/>
  </cols>
  <sheetData>
    <row r="1" spans="1:15" ht="18.75" hidden="1" x14ac:dyDescent="0.3">
      <c r="A1" s="338" t="s">
        <v>226</v>
      </c>
      <c r="B1" s="338"/>
      <c r="C1" s="9"/>
      <c r="D1" s="9"/>
      <c r="E1" s="9"/>
      <c r="F1" s="10"/>
    </row>
    <row r="2" spans="1:15" ht="18" hidden="1" customHeight="1" x14ac:dyDescent="0.25">
      <c r="A2" s="338"/>
      <c r="B2" s="338"/>
      <c r="C2" s="9"/>
      <c r="D2" s="9"/>
      <c r="E2" s="9"/>
      <c r="F2" s="12"/>
    </row>
    <row r="3" spans="1:15" hidden="1" x14ac:dyDescent="0.2">
      <c r="A3" s="13"/>
      <c r="B3" s="13"/>
      <c r="C3" s="13"/>
      <c r="D3" s="13"/>
      <c r="E3" s="13"/>
      <c r="F3" s="13"/>
    </row>
    <row r="4" spans="1:15" hidden="1" x14ac:dyDescent="0.2">
      <c r="A4" s="14" t="s">
        <v>228</v>
      </c>
      <c r="B4" s="14" t="s">
        <v>222</v>
      </c>
      <c r="C4" s="13"/>
      <c r="E4" s="13"/>
      <c r="F4" s="13"/>
    </row>
    <row r="5" spans="1:15" x14ac:dyDescent="0.2">
      <c r="A5" s="12"/>
      <c r="B5" s="13"/>
      <c r="C5" s="13"/>
      <c r="D5" s="13"/>
      <c r="E5" s="13"/>
    </row>
    <row r="6" spans="1:15" x14ac:dyDescent="0.2">
      <c r="A6" s="339" t="s">
        <v>0</v>
      </c>
      <c r="B6" s="339"/>
      <c r="C6" s="15"/>
      <c r="D6" s="15"/>
      <c r="E6" s="15"/>
    </row>
    <row r="7" spans="1:15" x14ac:dyDescent="0.2">
      <c r="A7" s="16"/>
      <c r="B7" s="16"/>
      <c r="C7" s="16"/>
      <c r="D7" s="16"/>
    </row>
    <row r="8" spans="1:15" x14ac:dyDescent="0.2">
      <c r="A8" s="17" t="s">
        <v>299</v>
      </c>
      <c r="B8" s="18"/>
      <c r="C8" s="18"/>
      <c r="D8" s="18"/>
      <c r="E8" s="19"/>
    </row>
    <row r="9" spans="1:15" x14ac:dyDescent="0.2">
      <c r="A9" s="16"/>
      <c r="B9" s="16"/>
      <c r="C9" s="16"/>
      <c r="D9" s="16"/>
    </row>
    <row r="10" spans="1:15" x14ac:dyDescent="0.2">
      <c r="A10" s="36" t="s">
        <v>15</v>
      </c>
    </row>
    <row r="12" spans="1:15" x14ac:dyDescent="0.2">
      <c r="A12" s="21" t="s">
        <v>151</v>
      </c>
      <c r="B12" s="22">
        <f>M17</f>
        <v>90097</v>
      </c>
      <c r="C12" s="11" t="s">
        <v>37</v>
      </c>
      <c r="E12" s="132" t="s">
        <v>599</v>
      </c>
      <c r="F12" s="132" t="s">
        <v>236</v>
      </c>
      <c r="G12" s="69">
        <v>401685</v>
      </c>
      <c r="I12" t="s">
        <v>547</v>
      </c>
      <c r="J12" t="s">
        <v>548</v>
      </c>
      <c r="K12" s="230" t="s">
        <v>549</v>
      </c>
      <c r="L12" t="s">
        <v>550</v>
      </c>
      <c r="M12" t="s">
        <v>551</v>
      </c>
    </row>
    <row r="13" spans="1:15" x14ac:dyDescent="0.2">
      <c r="A13" s="21" t="s">
        <v>16</v>
      </c>
      <c r="B13" s="22">
        <v>12</v>
      </c>
      <c r="C13" s="11" t="s">
        <v>55</v>
      </c>
      <c r="F13" s="11" t="s">
        <v>237</v>
      </c>
      <c r="G13" s="63">
        <v>48800</v>
      </c>
      <c r="I13">
        <v>1</v>
      </c>
      <c r="J13" s="230">
        <f>$G$14</f>
        <v>450485</v>
      </c>
      <c r="K13" s="230">
        <f>SLN($G$14,$B$15,$G$15)</f>
        <v>72077.600000000006</v>
      </c>
      <c r="L13" s="230">
        <f>K13</f>
        <v>72077.600000000006</v>
      </c>
      <c r="M13" s="230">
        <f>J13-L13</f>
        <v>378407.4</v>
      </c>
      <c r="O13" s="63">
        <f>(G19/G14)*100</f>
        <v>0</v>
      </c>
    </row>
    <row r="14" spans="1:15" x14ac:dyDescent="0.2">
      <c r="A14" s="21" t="s">
        <v>17</v>
      </c>
      <c r="B14" s="64">
        <v>0.2</v>
      </c>
      <c r="G14" s="63">
        <f>G12+G13</f>
        <v>450485</v>
      </c>
      <c r="I14">
        <v>2</v>
      </c>
      <c r="J14" s="230">
        <f>$G$14</f>
        <v>450485</v>
      </c>
      <c r="K14" s="230">
        <f>SLN($G$14,$B$15,$G$15)</f>
        <v>72077.600000000006</v>
      </c>
      <c r="L14" s="230">
        <f>K14+L13</f>
        <v>144155.20000000001</v>
      </c>
      <c r="M14" s="230">
        <f>J14-L14</f>
        <v>306329.8</v>
      </c>
      <c r="O14" s="63">
        <f>($G$19/M13)*100</f>
        <v>0</v>
      </c>
    </row>
    <row r="15" spans="1:15" x14ac:dyDescent="0.2">
      <c r="A15" s="21" t="s">
        <v>235</v>
      </c>
      <c r="B15" s="24">
        <f>G14*B14</f>
        <v>90097</v>
      </c>
      <c r="G15" s="63">
        <v>5</v>
      </c>
      <c r="I15">
        <v>3</v>
      </c>
      <c r="J15" s="230">
        <f>$G$14</f>
        <v>450485</v>
      </c>
      <c r="K15" s="230">
        <f>SLN($G$14,$B$15,$G$15)</f>
        <v>72077.600000000006</v>
      </c>
      <c r="L15" s="230">
        <f>K15+L14</f>
        <v>216232.80000000002</v>
      </c>
      <c r="M15" s="230">
        <f>J15-L15</f>
        <v>234252.19999999998</v>
      </c>
      <c r="O15" s="63">
        <f>($G$19/M14)*100</f>
        <v>0</v>
      </c>
    </row>
    <row r="16" spans="1:15" x14ac:dyDescent="0.2">
      <c r="A16" s="11" t="s">
        <v>234</v>
      </c>
      <c r="B16" s="22">
        <f>(B12-B15)/B13</f>
        <v>0</v>
      </c>
      <c r="C16" s="11" t="s">
        <v>131</v>
      </c>
      <c r="G16" s="63">
        <f>G14/G12</f>
        <v>1.1214882308276386</v>
      </c>
      <c r="I16">
        <v>4</v>
      </c>
      <c r="J16" s="230">
        <f>$G$14</f>
        <v>450485</v>
      </c>
      <c r="K16" s="230">
        <f>SLN($G$14,$B$15,$G$15)</f>
        <v>72077.600000000006</v>
      </c>
      <c r="L16" s="230">
        <f>K16+L15</f>
        <v>288310.40000000002</v>
      </c>
      <c r="M16" s="230">
        <f>J16-L16</f>
        <v>162174.59999999998</v>
      </c>
      <c r="O16" s="63">
        <f>($G$19/M15)*100</f>
        <v>0</v>
      </c>
    </row>
    <row r="17" spans="1:15" x14ac:dyDescent="0.2">
      <c r="F17" s="11" t="s">
        <v>673</v>
      </c>
      <c r="G17" s="63">
        <f>226421*G16</f>
        <v>253928.48671222475</v>
      </c>
      <c r="I17">
        <v>5</v>
      </c>
      <c r="J17" s="230">
        <f>$G$14</f>
        <v>450485</v>
      </c>
      <c r="K17" s="230">
        <f>SLN($G$14,$B$15,$G$15)</f>
        <v>72077.600000000006</v>
      </c>
      <c r="L17" s="230">
        <f>K17+L16</f>
        <v>360388</v>
      </c>
      <c r="M17" s="230">
        <f>J17-L17</f>
        <v>90097</v>
      </c>
      <c r="O17" s="63">
        <f>($G$19/M16)*100</f>
        <v>0</v>
      </c>
    </row>
    <row r="18" spans="1:15" x14ac:dyDescent="0.2">
      <c r="A18" s="20" t="s">
        <v>18</v>
      </c>
      <c r="O18" s="63">
        <f>($G$19/M17)*100</f>
        <v>0</v>
      </c>
    </row>
    <row r="19" spans="1:15" x14ac:dyDescent="0.2">
      <c r="E19" s="71"/>
    </row>
    <row r="20" spans="1:15" x14ac:dyDescent="0.2">
      <c r="A20" s="65" t="s">
        <v>19</v>
      </c>
      <c r="B20" s="16">
        <f>+B12</f>
        <v>90097</v>
      </c>
      <c r="C20" s="16" t="s">
        <v>37</v>
      </c>
      <c r="D20" s="16"/>
    </row>
    <row r="21" spans="1:15" x14ac:dyDescent="0.2">
      <c r="A21" s="65" t="s">
        <v>566</v>
      </c>
      <c r="B21" s="232">
        <v>0.11749999999999999</v>
      </c>
      <c r="C21" s="16"/>
      <c r="D21" s="16"/>
    </row>
    <row r="22" spans="1:15" x14ac:dyDescent="0.2">
      <c r="A22" s="65" t="s">
        <v>21</v>
      </c>
      <c r="B22" s="16">
        <f>((B12-B15)*B21)/12</f>
        <v>0</v>
      </c>
      <c r="C22" s="16" t="s">
        <v>131</v>
      </c>
      <c r="D22" s="16"/>
    </row>
    <row r="23" spans="1:15" x14ac:dyDescent="0.2">
      <c r="A23" s="16" t="s">
        <v>8</v>
      </c>
      <c r="B23" s="16" t="s">
        <v>8</v>
      </c>
      <c r="C23" s="16" t="s">
        <v>8</v>
      </c>
      <c r="D23" s="16"/>
    </row>
    <row r="24" spans="1:15" x14ac:dyDescent="0.2">
      <c r="A24" s="18" t="s">
        <v>22</v>
      </c>
      <c r="B24" s="16" t="s">
        <v>8</v>
      </c>
      <c r="C24" s="16" t="s">
        <v>8</v>
      </c>
      <c r="D24" s="16" t="s">
        <v>8</v>
      </c>
    </row>
    <row r="26" spans="1:15" x14ac:dyDescent="0.2">
      <c r="A26" s="21" t="s">
        <v>23</v>
      </c>
      <c r="B26" s="22">
        <f>DADOS!D21</f>
        <v>6.5910000000000002</v>
      </c>
      <c r="C26" s="11" t="s">
        <v>213</v>
      </c>
    </row>
    <row r="27" spans="1:15" x14ac:dyDescent="0.2">
      <c r="A27" s="21" t="s">
        <v>602</v>
      </c>
      <c r="B27" s="22">
        <f>E27*26.08</f>
        <v>571.41279999999995</v>
      </c>
      <c r="C27" s="11" t="s">
        <v>45</v>
      </c>
      <c r="E27" s="11">
        <f>43.82/2</f>
        <v>21.91</v>
      </c>
    </row>
    <row r="28" spans="1:15" x14ac:dyDescent="0.2">
      <c r="A28" s="21" t="s">
        <v>24</v>
      </c>
      <c r="B28" s="22">
        <v>2.1</v>
      </c>
      <c r="C28" s="11" t="s">
        <v>214</v>
      </c>
    </row>
    <row r="29" spans="1:15" x14ac:dyDescent="0.2">
      <c r="A29" s="23" t="s">
        <v>25</v>
      </c>
      <c r="B29" s="22">
        <f>+(B27/B28)*B26</f>
        <v>1793.4198879999997</v>
      </c>
      <c r="C29" s="11" t="s">
        <v>131</v>
      </c>
    </row>
    <row r="30" spans="1:15" x14ac:dyDescent="0.2">
      <c r="A30" s="21"/>
      <c r="B30" s="22"/>
    </row>
    <row r="31" spans="1:15" x14ac:dyDescent="0.2">
      <c r="A31" s="18" t="s">
        <v>26</v>
      </c>
      <c r="B31" s="16" t="s">
        <v>8</v>
      </c>
    </row>
    <row r="33" spans="1:9" x14ac:dyDescent="0.2">
      <c r="A33" s="21" t="s">
        <v>94</v>
      </c>
      <c r="B33" s="22">
        <f>(2789.9)*6</f>
        <v>16739.400000000001</v>
      </c>
      <c r="C33" s="11" t="s">
        <v>37</v>
      </c>
    </row>
    <row r="34" spans="1:9" x14ac:dyDescent="0.2">
      <c r="A34" s="21" t="s">
        <v>27</v>
      </c>
      <c r="B34" s="22">
        <v>50000</v>
      </c>
      <c r="C34" s="11" t="s">
        <v>45</v>
      </c>
    </row>
    <row r="35" spans="1:9" x14ac:dyDescent="0.2">
      <c r="A35" s="21" t="s">
        <v>478</v>
      </c>
      <c r="B35" s="22">
        <f>B27</f>
        <v>571.41279999999995</v>
      </c>
      <c r="C35" s="11" t="s">
        <v>215</v>
      </c>
      <c r="I35" s="231"/>
    </row>
    <row r="36" spans="1:9" x14ac:dyDescent="0.2">
      <c r="A36" s="21" t="s">
        <v>28</v>
      </c>
      <c r="B36" s="22">
        <f>+(B33*B35)/B34</f>
        <v>191.30214848639997</v>
      </c>
      <c r="C36" s="11" t="s">
        <v>131</v>
      </c>
      <c r="I36" s="231"/>
    </row>
    <row r="37" spans="1:9" x14ac:dyDescent="0.2">
      <c r="A37" s="21"/>
      <c r="B37" s="22"/>
      <c r="I37" s="231"/>
    </row>
    <row r="38" spans="1:9" x14ac:dyDescent="0.2">
      <c r="A38" s="20" t="s">
        <v>596</v>
      </c>
      <c r="I38" s="231"/>
    </row>
    <row r="39" spans="1:9" x14ac:dyDescent="0.2">
      <c r="A39" s="21" t="s">
        <v>7</v>
      </c>
      <c r="I39" s="231"/>
    </row>
    <row r="40" spans="1:9" x14ac:dyDescent="0.2">
      <c r="A40" s="21" t="s">
        <v>30</v>
      </c>
      <c r="B40" s="64">
        <v>0.13</v>
      </c>
      <c r="E40" s="231"/>
      <c r="I40" s="231"/>
    </row>
    <row r="41" spans="1:9" x14ac:dyDescent="0.2">
      <c r="A41" s="21" t="s">
        <v>581</v>
      </c>
      <c r="B41" s="25">
        <f>G14</f>
        <v>450485</v>
      </c>
      <c r="C41" s="11" t="s">
        <v>37</v>
      </c>
      <c r="I41" s="231"/>
    </row>
    <row r="42" spans="1:9" x14ac:dyDescent="0.2">
      <c r="A42" s="21" t="s">
        <v>32</v>
      </c>
      <c r="B42" s="22">
        <v>12</v>
      </c>
      <c r="C42" s="11" t="s">
        <v>55</v>
      </c>
      <c r="I42" s="231"/>
    </row>
    <row r="43" spans="1:9" x14ac:dyDescent="0.2">
      <c r="A43" s="21" t="s">
        <v>33</v>
      </c>
      <c r="B43" s="22">
        <f>+(B40*B41)/B42</f>
        <v>4880.2541666666666</v>
      </c>
      <c r="C43" s="11" t="s">
        <v>131</v>
      </c>
      <c r="I43" s="231"/>
    </row>
    <row r="44" spans="1:9" x14ac:dyDescent="0.2">
      <c r="I44" s="231"/>
    </row>
    <row r="45" spans="1:9" x14ac:dyDescent="0.2">
      <c r="A45" s="67" t="s">
        <v>74</v>
      </c>
      <c r="B45" s="22"/>
      <c r="I45" s="231"/>
    </row>
    <row r="46" spans="1:9" x14ac:dyDescent="0.2">
      <c r="A46" s="21"/>
      <c r="B46" s="22"/>
      <c r="I46" s="231"/>
    </row>
    <row r="47" spans="1:9" x14ac:dyDescent="0.2">
      <c r="A47" s="23" t="s">
        <v>75</v>
      </c>
      <c r="B47" s="30">
        <v>62.22</v>
      </c>
      <c r="C47" s="11" t="s">
        <v>131</v>
      </c>
      <c r="I47" s="231"/>
    </row>
    <row r="48" spans="1:9" x14ac:dyDescent="0.2">
      <c r="A48" s="23" t="s">
        <v>76</v>
      </c>
      <c r="B48" s="22">
        <v>19.440000000000001</v>
      </c>
      <c r="C48" s="11" t="s">
        <v>131</v>
      </c>
    </row>
    <row r="49" spans="1:3" x14ac:dyDescent="0.2">
      <c r="A49" s="23" t="s">
        <v>77</v>
      </c>
      <c r="B49" s="22">
        <v>75.760000000000005</v>
      </c>
    </row>
    <row r="50" spans="1:3" x14ac:dyDescent="0.2">
      <c r="A50" s="23" t="s">
        <v>78</v>
      </c>
      <c r="B50" s="22">
        <v>14.88</v>
      </c>
      <c r="C50" s="11" t="s">
        <v>131</v>
      </c>
    </row>
    <row r="51" spans="1:3" x14ac:dyDescent="0.2">
      <c r="A51" s="23" t="s">
        <v>479</v>
      </c>
      <c r="B51" s="22">
        <f>8*20</f>
        <v>160</v>
      </c>
      <c r="C51" s="11" t="s">
        <v>131</v>
      </c>
    </row>
    <row r="52" spans="1:3" x14ac:dyDescent="0.2">
      <c r="A52" s="23" t="s">
        <v>79</v>
      </c>
      <c r="B52" s="22">
        <f>(+B47+B48+B49+B50)*15%</f>
        <v>25.845000000000002</v>
      </c>
      <c r="C52" s="11" t="s">
        <v>131</v>
      </c>
    </row>
    <row r="53" spans="1:3" x14ac:dyDescent="0.2">
      <c r="A53" s="23" t="s">
        <v>80</v>
      </c>
      <c r="B53" s="68">
        <f>+B47+B48+B49+B50+B51+B52</f>
        <v>358.14500000000004</v>
      </c>
      <c r="C53" s="11" t="s">
        <v>131</v>
      </c>
    </row>
    <row r="54" spans="1:3" x14ac:dyDescent="0.2">
      <c r="A54" s="23"/>
      <c r="B54" s="22"/>
    </row>
    <row r="55" spans="1:3" x14ac:dyDescent="0.2">
      <c r="A55" s="67" t="s">
        <v>81</v>
      </c>
      <c r="B55" s="22"/>
    </row>
    <row r="56" spans="1:3" x14ac:dyDescent="0.2">
      <c r="A56" s="23"/>
      <c r="B56" s="22"/>
    </row>
    <row r="57" spans="1:3" x14ac:dyDescent="0.2">
      <c r="A57" s="23" t="s">
        <v>153</v>
      </c>
      <c r="B57" s="22">
        <f>(+G17*3%)/12</f>
        <v>634.82121678056183</v>
      </c>
      <c r="C57" s="11" t="s">
        <v>131</v>
      </c>
    </row>
    <row r="58" spans="1:3" x14ac:dyDescent="0.2">
      <c r="A58" s="23" t="s">
        <v>152</v>
      </c>
      <c r="B58" s="22">
        <f>(173.52+(+G12*1.5%))/12</f>
        <v>516.56624999999997</v>
      </c>
      <c r="C58" s="11" t="s">
        <v>131</v>
      </c>
    </row>
    <row r="59" spans="1:3" x14ac:dyDescent="0.2">
      <c r="A59" s="11" t="s">
        <v>82</v>
      </c>
      <c r="B59" s="35">
        <f>+B57+B58</f>
        <v>1151.3874667805617</v>
      </c>
      <c r="C59" s="11" t="s">
        <v>131</v>
      </c>
    </row>
    <row r="61" spans="1:3" x14ac:dyDescent="0.2">
      <c r="A61" s="26" t="s">
        <v>438</v>
      </c>
      <c r="B61" s="27">
        <f>B59+B53+B43+B36+B29+B22+B16</f>
        <v>8374.508669933628</v>
      </c>
      <c r="C61" s="31" t="s">
        <v>131</v>
      </c>
    </row>
    <row r="62" spans="1:3" hidden="1" x14ac:dyDescent="0.2"/>
    <row r="63" spans="1:3" hidden="1" x14ac:dyDescent="0.2">
      <c r="A63" s="26" t="s">
        <v>439</v>
      </c>
      <c r="B63" s="209">
        <f>B29+B36+B53</f>
        <v>2342.8670364863997</v>
      </c>
      <c r="C63" s="26" t="s">
        <v>131</v>
      </c>
    </row>
    <row r="65" spans="2:2" x14ac:dyDescent="0.2">
      <c r="B65" s="71"/>
    </row>
  </sheetData>
  <mergeCells count="3">
    <mergeCell ref="A1:B1"/>
    <mergeCell ref="A2:B2"/>
    <mergeCell ref="A6:B6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5"/>
  <sheetViews>
    <sheetView view="pageBreakPreview" topLeftCell="A17" zoomScaleNormal="100" zoomScaleSheetLayoutView="100" workbookViewId="0">
      <selection activeCell="F27" sqref="F27"/>
    </sheetView>
  </sheetViews>
  <sheetFormatPr defaultColWidth="12" defaultRowHeight="12.75" x14ac:dyDescent="0.2"/>
  <cols>
    <col min="1" max="1" width="57.33203125" style="11" customWidth="1"/>
    <col min="2" max="2" width="17.83203125" style="11" customWidth="1"/>
    <col min="3" max="4" width="12" style="11"/>
    <col min="5" max="5" width="17" style="11" customWidth="1"/>
    <col min="6" max="6" width="13.5" style="11" customWidth="1"/>
    <col min="7" max="7" width="14" style="63" customWidth="1"/>
    <col min="8" max="14" width="12" style="11"/>
    <col min="15" max="15" width="12" style="63"/>
    <col min="16" max="16384" width="12" style="11"/>
  </cols>
  <sheetData>
    <row r="1" spans="1:15" ht="18.75" hidden="1" x14ac:dyDescent="0.3">
      <c r="A1" s="338" t="s">
        <v>226</v>
      </c>
      <c r="B1" s="338"/>
      <c r="C1" s="286"/>
      <c r="D1" s="286"/>
      <c r="E1" s="286"/>
      <c r="F1" s="10"/>
    </row>
    <row r="2" spans="1:15" ht="18" hidden="1" customHeight="1" x14ac:dyDescent="0.25">
      <c r="A2" s="338"/>
      <c r="B2" s="338"/>
      <c r="C2" s="286"/>
      <c r="D2" s="286"/>
      <c r="E2" s="286"/>
      <c r="F2" s="12"/>
    </row>
    <row r="3" spans="1:15" hidden="1" x14ac:dyDescent="0.2">
      <c r="A3" s="13"/>
      <c r="B3" s="13"/>
      <c r="C3" s="13"/>
      <c r="D3" s="13"/>
      <c r="E3" s="13"/>
      <c r="F3" s="13"/>
    </row>
    <row r="4" spans="1:15" hidden="1" x14ac:dyDescent="0.2">
      <c r="A4" s="289" t="s">
        <v>228</v>
      </c>
      <c r="B4" s="289" t="s">
        <v>222</v>
      </c>
      <c r="C4" s="13"/>
      <c r="E4" s="13"/>
      <c r="F4" s="13"/>
    </row>
    <row r="5" spans="1:15" x14ac:dyDescent="0.2">
      <c r="A5" s="12"/>
      <c r="B5" s="13"/>
      <c r="C5" s="13"/>
      <c r="D5" s="13"/>
      <c r="E5" s="13"/>
    </row>
    <row r="6" spans="1:15" x14ac:dyDescent="0.2">
      <c r="A6" s="339" t="s">
        <v>0</v>
      </c>
      <c r="B6" s="339"/>
      <c r="C6" s="287"/>
      <c r="D6" s="287"/>
      <c r="E6" s="287"/>
    </row>
    <row r="7" spans="1:15" x14ac:dyDescent="0.2">
      <c r="A7" s="16"/>
      <c r="B7" s="16"/>
      <c r="C7" s="16"/>
      <c r="D7" s="16"/>
    </row>
    <row r="8" spans="1:15" x14ac:dyDescent="0.2">
      <c r="A8" s="288" t="s">
        <v>603</v>
      </c>
      <c r="B8" s="18"/>
      <c r="C8" s="18"/>
      <c r="D8" s="18"/>
      <c r="E8" s="19"/>
    </row>
    <row r="9" spans="1:15" x14ac:dyDescent="0.2">
      <c r="A9" s="16"/>
      <c r="B9" s="16"/>
      <c r="C9" s="16"/>
      <c r="D9" s="16"/>
    </row>
    <row r="10" spans="1:15" x14ac:dyDescent="0.2">
      <c r="A10" s="36" t="s">
        <v>15</v>
      </c>
    </row>
    <row r="12" spans="1:15" x14ac:dyDescent="0.2">
      <c r="A12" s="21" t="s">
        <v>151</v>
      </c>
      <c r="B12" s="22">
        <f>M17</f>
        <v>103651</v>
      </c>
      <c r="C12" s="11" t="s">
        <v>37</v>
      </c>
      <c r="E12" s="132" t="s">
        <v>674</v>
      </c>
      <c r="F12" s="132" t="s">
        <v>236</v>
      </c>
      <c r="G12" s="69">
        <v>458255</v>
      </c>
      <c r="I12" t="s">
        <v>547</v>
      </c>
      <c r="J12" t="s">
        <v>548</v>
      </c>
      <c r="K12" s="230" t="s">
        <v>549</v>
      </c>
      <c r="L12" t="s">
        <v>550</v>
      </c>
      <c r="M12" t="s">
        <v>551</v>
      </c>
    </row>
    <row r="13" spans="1:15" x14ac:dyDescent="0.2">
      <c r="A13" s="21" t="s">
        <v>16</v>
      </c>
      <c r="B13" s="22">
        <v>12</v>
      </c>
      <c r="C13" s="11" t="s">
        <v>55</v>
      </c>
      <c r="F13" s="11" t="s">
        <v>237</v>
      </c>
      <c r="G13" s="63">
        <v>60000</v>
      </c>
      <c r="I13">
        <v>1</v>
      </c>
      <c r="J13" s="230">
        <f>$G$14</f>
        <v>518255</v>
      </c>
      <c r="K13" s="230">
        <f>SLN($G$14,$B$15,$G$15)</f>
        <v>82920.800000000003</v>
      </c>
      <c r="L13" s="230">
        <f>K13</f>
        <v>82920.800000000003</v>
      </c>
      <c r="M13" s="230">
        <f>J13-L13</f>
        <v>435334.2</v>
      </c>
      <c r="O13" s="63">
        <f>(G19/G14)*100</f>
        <v>0</v>
      </c>
    </row>
    <row r="14" spans="1:15" x14ac:dyDescent="0.2">
      <c r="A14" s="21" t="s">
        <v>17</v>
      </c>
      <c r="B14" s="64">
        <v>0.2</v>
      </c>
      <c r="G14" s="63">
        <f>G12+G13</f>
        <v>518255</v>
      </c>
      <c r="I14">
        <v>2</v>
      </c>
      <c r="J14" s="230">
        <f>$G$14</f>
        <v>518255</v>
      </c>
      <c r="K14" s="230">
        <f>SLN($G$14,$B$15,$G$15)</f>
        <v>82920.800000000003</v>
      </c>
      <c r="L14" s="230">
        <f>K14+L13</f>
        <v>165841.60000000001</v>
      </c>
      <c r="M14" s="230">
        <f>J14-L14</f>
        <v>352413.4</v>
      </c>
      <c r="O14" s="63">
        <f>($G$19/M13)*100</f>
        <v>0</v>
      </c>
    </row>
    <row r="15" spans="1:15" x14ac:dyDescent="0.2">
      <c r="A15" s="21" t="s">
        <v>235</v>
      </c>
      <c r="B15" s="24">
        <f>G14*B14</f>
        <v>103651</v>
      </c>
      <c r="G15" s="63">
        <v>5</v>
      </c>
      <c r="I15">
        <v>3</v>
      </c>
      <c r="J15" s="230">
        <f>$G$14</f>
        <v>518255</v>
      </c>
      <c r="K15" s="230">
        <f>SLN($G$14,$B$15,$G$15)</f>
        <v>82920.800000000003</v>
      </c>
      <c r="L15" s="230">
        <f>K15+L14</f>
        <v>248762.40000000002</v>
      </c>
      <c r="M15" s="230">
        <f>J15-L15</f>
        <v>269492.59999999998</v>
      </c>
      <c r="O15" s="63">
        <f>($G$19/M14)*100</f>
        <v>0</v>
      </c>
    </row>
    <row r="16" spans="1:15" x14ac:dyDescent="0.2">
      <c r="A16" s="11" t="s">
        <v>234</v>
      </c>
      <c r="B16" s="22">
        <f>(B12-B15)/B13</f>
        <v>0</v>
      </c>
      <c r="C16" s="11" t="s">
        <v>131</v>
      </c>
      <c r="G16" s="63">
        <f>G14/G12</f>
        <v>1.1309314682873073</v>
      </c>
      <c r="I16">
        <v>4</v>
      </c>
      <c r="J16" s="230">
        <f>$G$14</f>
        <v>518255</v>
      </c>
      <c r="K16" s="230">
        <f>SLN($G$14,$B$15,$G$15)</f>
        <v>82920.800000000003</v>
      </c>
      <c r="L16" s="230">
        <f>K16+L15</f>
        <v>331683.20000000001</v>
      </c>
      <c r="M16" s="230">
        <f>J16-L16</f>
        <v>186571.8</v>
      </c>
      <c r="O16" s="63">
        <f>($G$19/M15)*100</f>
        <v>0</v>
      </c>
    </row>
    <row r="17" spans="1:15" x14ac:dyDescent="0.2">
      <c r="F17" s="11" t="s">
        <v>673</v>
      </c>
      <c r="G17" s="63">
        <f>231295*G16</f>
        <v>261578.79395751274</v>
      </c>
      <c r="I17">
        <v>5</v>
      </c>
      <c r="J17" s="230">
        <f>$G$14</f>
        <v>518255</v>
      </c>
      <c r="K17" s="230">
        <f>SLN($G$14,$B$15,$G$15)</f>
        <v>82920.800000000003</v>
      </c>
      <c r="L17" s="230">
        <f>K17+L16</f>
        <v>414604</v>
      </c>
      <c r="M17" s="230">
        <f>J17-L17</f>
        <v>103651</v>
      </c>
      <c r="O17" s="63">
        <f>($G$19/M16)*100</f>
        <v>0</v>
      </c>
    </row>
    <row r="18" spans="1:15" x14ac:dyDescent="0.2">
      <c r="A18" s="20" t="s">
        <v>18</v>
      </c>
      <c r="O18" s="63">
        <f>($G$19/M17)*100</f>
        <v>0</v>
      </c>
    </row>
    <row r="19" spans="1:15" x14ac:dyDescent="0.2">
      <c r="E19" s="71"/>
    </row>
    <row r="20" spans="1:15" x14ac:dyDescent="0.2">
      <c r="A20" s="65" t="s">
        <v>19</v>
      </c>
      <c r="B20" s="16">
        <f>+B12</f>
        <v>103651</v>
      </c>
      <c r="C20" s="16" t="s">
        <v>37</v>
      </c>
      <c r="D20" s="16"/>
    </row>
    <row r="21" spans="1:15" x14ac:dyDescent="0.2">
      <c r="A21" s="65" t="s">
        <v>566</v>
      </c>
      <c r="B21" s="232">
        <v>0.11749999999999999</v>
      </c>
      <c r="C21" s="16"/>
      <c r="D21" s="16"/>
    </row>
    <row r="22" spans="1:15" x14ac:dyDescent="0.2">
      <c r="A22" s="65" t="s">
        <v>21</v>
      </c>
      <c r="B22" s="16">
        <f>((B12-B15)*B21)/12</f>
        <v>0</v>
      </c>
      <c r="C22" s="16" t="s">
        <v>131</v>
      </c>
      <c r="D22" s="16"/>
    </row>
    <row r="23" spans="1:15" x14ac:dyDescent="0.2">
      <c r="A23" s="16" t="s">
        <v>8</v>
      </c>
      <c r="B23" s="16" t="s">
        <v>8</v>
      </c>
      <c r="C23" s="16" t="s">
        <v>8</v>
      </c>
      <c r="D23" s="16"/>
    </row>
    <row r="24" spans="1:15" x14ac:dyDescent="0.2">
      <c r="A24" s="18" t="s">
        <v>22</v>
      </c>
      <c r="B24" s="16" t="s">
        <v>8</v>
      </c>
      <c r="C24" s="16" t="s">
        <v>8</v>
      </c>
      <c r="D24" s="16" t="s">
        <v>8</v>
      </c>
    </row>
    <row r="26" spans="1:15" x14ac:dyDescent="0.2">
      <c r="A26" s="21" t="s">
        <v>23</v>
      </c>
      <c r="B26" s="22">
        <f>DADOS!D21</f>
        <v>6.5910000000000002</v>
      </c>
      <c r="C26" s="11" t="s">
        <v>213</v>
      </c>
    </row>
    <row r="27" spans="1:15" x14ac:dyDescent="0.2">
      <c r="A27" s="21" t="s">
        <v>601</v>
      </c>
      <c r="B27" s="22">
        <f>E27*26.08</f>
        <v>571.41279999999995</v>
      </c>
      <c r="C27" s="11" t="s">
        <v>45</v>
      </c>
      <c r="E27" s="11">
        <f>43.82/2</f>
        <v>21.91</v>
      </c>
    </row>
    <row r="28" spans="1:15" x14ac:dyDescent="0.2">
      <c r="A28" s="21" t="s">
        <v>24</v>
      </c>
      <c r="B28" s="22">
        <v>2.1</v>
      </c>
      <c r="C28" s="11" t="s">
        <v>214</v>
      </c>
    </row>
    <row r="29" spans="1:15" x14ac:dyDescent="0.2">
      <c r="A29" s="23" t="s">
        <v>25</v>
      </c>
      <c r="B29" s="22">
        <f>+(B27/B28)*B26</f>
        <v>1793.4198879999997</v>
      </c>
      <c r="C29" s="11" t="s">
        <v>131</v>
      </c>
    </row>
    <row r="30" spans="1:15" x14ac:dyDescent="0.2">
      <c r="A30" s="21"/>
      <c r="B30" s="22"/>
    </row>
    <row r="31" spans="1:15" x14ac:dyDescent="0.2">
      <c r="A31" s="18" t="s">
        <v>26</v>
      </c>
      <c r="B31" s="16" t="s">
        <v>8</v>
      </c>
    </row>
    <row r="33" spans="1:9" x14ac:dyDescent="0.2">
      <c r="A33" s="21" t="s">
        <v>94</v>
      </c>
      <c r="B33" s="22">
        <f>(2789.9)*10</f>
        <v>27899</v>
      </c>
      <c r="C33" s="11" t="s">
        <v>37</v>
      </c>
    </row>
    <row r="34" spans="1:9" x14ac:dyDescent="0.2">
      <c r="A34" s="21" t="s">
        <v>27</v>
      </c>
      <c r="B34" s="22">
        <v>50000</v>
      </c>
      <c r="C34" s="11" t="s">
        <v>45</v>
      </c>
    </row>
    <row r="35" spans="1:9" x14ac:dyDescent="0.2">
      <c r="A35" s="21" t="s">
        <v>478</v>
      </c>
      <c r="B35" s="22">
        <f>B27</f>
        <v>571.41279999999995</v>
      </c>
      <c r="C35" s="11" t="s">
        <v>215</v>
      </c>
      <c r="I35" s="231"/>
    </row>
    <row r="36" spans="1:9" x14ac:dyDescent="0.2">
      <c r="A36" s="21" t="s">
        <v>28</v>
      </c>
      <c r="B36" s="22">
        <f>+(B33*B35)/B34</f>
        <v>318.83691414399999</v>
      </c>
      <c r="C36" s="11" t="s">
        <v>131</v>
      </c>
      <c r="I36" s="231"/>
    </row>
    <row r="37" spans="1:9" x14ac:dyDescent="0.2">
      <c r="A37" s="21"/>
      <c r="B37" s="22"/>
      <c r="I37" s="231"/>
    </row>
    <row r="38" spans="1:9" x14ac:dyDescent="0.2">
      <c r="A38" s="20" t="s">
        <v>596</v>
      </c>
      <c r="I38" s="231"/>
    </row>
    <row r="39" spans="1:9" x14ac:dyDescent="0.2">
      <c r="A39" s="21" t="s">
        <v>7</v>
      </c>
      <c r="I39" s="231"/>
    </row>
    <row r="40" spans="1:9" x14ac:dyDescent="0.2">
      <c r="A40" s="21" t="s">
        <v>30</v>
      </c>
      <c r="B40" s="64">
        <v>0.13</v>
      </c>
      <c r="E40" s="231"/>
      <c r="I40" s="231"/>
    </row>
    <row r="41" spans="1:9" x14ac:dyDescent="0.2">
      <c r="A41" s="21" t="s">
        <v>581</v>
      </c>
      <c r="B41" s="25">
        <f>G14</f>
        <v>518255</v>
      </c>
      <c r="C41" s="11" t="s">
        <v>37</v>
      </c>
      <c r="I41" s="231"/>
    </row>
    <row r="42" spans="1:9" x14ac:dyDescent="0.2">
      <c r="A42" s="21" t="s">
        <v>32</v>
      </c>
      <c r="B42" s="22">
        <v>12</v>
      </c>
      <c r="C42" s="11" t="s">
        <v>55</v>
      </c>
      <c r="I42" s="231"/>
    </row>
    <row r="43" spans="1:9" x14ac:dyDescent="0.2">
      <c r="A43" s="21" t="s">
        <v>33</v>
      </c>
      <c r="B43" s="22">
        <f>+(B40*B41)/B42</f>
        <v>5614.4291666666677</v>
      </c>
      <c r="C43" s="11" t="s">
        <v>131</v>
      </c>
      <c r="I43" s="231"/>
    </row>
    <row r="44" spans="1:9" x14ac:dyDescent="0.2">
      <c r="I44" s="231"/>
    </row>
    <row r="45" spans="1:9" x14ac:dyDescent="0.2">
      <c r="A45" s="67" t="s">
        <v>74</v>
      </c>
      <c r="B45" s="22"/>
      <c r="I45" s="231"/>
    </row>
    <row r="46" spans="1:9" x14ac:dyDescent="0.2">
      <c r="A46" s="21"/>
      <c r="B46" s="22"/>
      <c r="I46" s="231"/>
    </row>
    <row r="47" spans="1:9" x14ac:dyDescent="0.2">
      <c r="A47" s="23" t="s">
        <v>75</v>
      </c>
      <c r="B47" s="30">
        <v>62.22</v>
      </c>
      <c r="C47" s="11" t="s">
        <v>131</v>
      </c>
      <c r="I47" s="231"/>
    </row>
    <row r="48" spans="1:9" x14ac:dyDescent="0.2">
      <c r="A48" s="23" t="s">
        <v>76</v>
      </c>
      <c r="B48" s="22">
        <v>19.440000000000001</v>
      </c>
      <c r="C48" s="11" t="s">
        <v>131</v>
      </c>
    </row>
    <row r="49" spans="1:3" x14ac:dyDescent="0.2">
      <c r="A49" s="23" t="s">
        <v>77</v>
      </c>
      <c r="B49" s="22">
        <v>75.760000000000005</v>
      </c>
    </row>
    <row r="50" spans="1:3" x14ac:dyDescent="0.2">
      <c r="A50" s="23" t="s">
        <v>78</v>
      </c>
      <c r="B50" s="22">
        <v>14.88</v>
      </c>
      <c r="C50" s="11" t="s">
        <v>131</v>
      </c>
    </row>
    <row r="51" spans="1:3" x14ac:dyDescent="0.2">
      <c r="A51" s="23" t="s">
        <v>479</v>
      </c>
      <c r="B51" s="22">
        <f>8*20</f>
        <v>160</v>
      </c>
      <c r="C51" s="11" t="s">
        <v>131</v>
      </c>
    </row>
    <row r="52" spans="1:3" x14ac:dyDescent="0.2">
      <c r="A52" s="23" t="s">
        <v>79</v>
      </c>
      <c r="B52" s="22">
        <f>(+B47+B48+B49+B50)*15%</f>
        <v>25.845000000000002</v>
      </c>
      <c r="C52" s="11" t="s">
        <v>131</v>
      </c>
    </row>
    <row r="53" spans="1:3" x14ac:dyDescent="0.2">
      <c r="A53" s="23" t="s">
        <v>80</v>
      </c>
      <c r="B53" s="68">
        <f>+B47+B48+B49+B50+B51+B52</f>
        <v>358.14500000000004</v>
      </c>
      <c r="C53" s="11" t="s">
        <v>131</v>
      </c>
    </row>
    <row r="54" spans="1:3" x14ac:dyDescent="0.2">
      <c r="A54" s="23"/>
      <c r="B54" s="22"/>
    </row>
    <row r="55" spans="1:3" x14ac:dyDescent="0.2">
      <c r="A55" s="67" t="s">
        <v>81</v>
      </c>
      <c r="B55" s="22"/>
    </row>
    <row r="56" spans="1:3" x14ac:dyDescent="0.2">
      <c r="A56" s="23"/>
      <c r="B56" s="22"/>
    </row>
    <row r="57" spans="1:3" x14ac:dyDescent="0.2">
      <c r="A57" s="23" t="s">
        <v>153</v>
      </c>
      <c r="B57" s="22">
        <f>(+G17*3%)/12</f>
        <v>653.94698489378186</v>
      </c>
      <c r="C57" s="11" t="s">
        <v>131</v>
      </c>
    </row>
    <row r="58" spans="1:3" x14ac:dyDescent="0.2">
      <c r="A58" s="23" t="s">
        <v>152</v>
      </c>
      <c r="B58" s="22">
        <f>(173.52+(+G12*1.5%))/12</f>
        <v>587.27875000000006</v>
      </c>
      <c r="C58" s="11" t="s">
        <v>131</v>
      </c>
    </row>
    <row r="59" spans="1:3" x14ac:dyDescent="0.2">
      <c r="A59" s="11" t="s">
        <v>82</v>
      </c>
      <c r="B59" s="35">
        <f>+B57+B58</f>
        <v>1241.2257348937819</v>
      </c>
      <c r="C59" s="11" t="s">
        <v>131</v>
      </c>
    </row>
    <row r="61" spans="1:3" x14ac:dyDescent="0.2">
      <c r="A61" s="26" t="s">
        <v>438</v>
      </c>
      <c r="B61" s="27">
        <f>B59+B53+B43+B36+B29+B22+B16</f>
        <v>9326.0567037044493</v>
      </c>
      <c r="C61" s="31" t="s">
        <v>131</v>
      </c>
    </row>
    <row r="62" spans="1:3" hidden="1" x14ac:dyDescent="0.2"/>
    <row r="63" spans="1:3" hidden="1" x14ac:dyDescent="0.2">
      <c r="A63" s="26" t="s">
        <v>439</v>
      </c>
      <c r="B63" s="209">
        <f>B29+B36+B53</f>
        <v>2470.4018021439997</v>
      </c>
      <c r="C63" s="26" t="s">
        <v>131</v>
      </c>
    </row>
    <row r="65" spans="2:2" x14ac:dyDescent="0.2">
      <c r="B65" s="71"/>
    </row>
  </sheetData>
  <mergeCells count="3">
    <mergeCell ref="A1:B1"/>
    <mergeCell ref="A2:B2"/>
    <mergeCell ref="A6:B6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8"/>
  <sheetViews>
    <sheetView view="pageBreakPreview" topLeftCell="A5" workbookViewId="0">
      <selection activeCell="B16" sqref="B16"/>
    </sheetView>
  </sheetViews>
  <sheetFormatPr defaultColWidth="12" defaultRowHeight="12.75" x14ac:dyDescent="0.2"/>
  <cols>
    <col min="1" max="1" width="60.6640625" style="11" customWidth="1"/>
    <col min="2" max="2" width="18.6640625" style="11" customWidth="1"/>
    <col min="3" max="3" width="10.1640625" style="11" customWidth="1"/>
    <col min="4" max="4" width="12" style="11" customWidth="1"/>
    <col min="5" max="5" width="16.33203125" style="11" customWidth="1"/>
    <col min="6" max="6" width="15.1640625" style="11" customWidth="1"/>
    <col min="7" max="7" width="14" style="63" customWidth="1"/>
    <col min="8" max="16384" width="12" style="11"/>
  </cols>
  <sheetData>
    <row r="1" spans="1:15" ht="18.75" hidden="1" x14ac:dyDescent="0.3">
      <c r="A1" s="338" t="s">
        <v>226</v>
      </c>
      <c r="B1" s="338"/>
      <c r="C1" s="9"/>
      <c r="D1" s="9"/>
      <c r="E1" s="9"/>
      <c r="F1" s="10"/>
    </row>
    <row r="2" spans="1:15" ht="18" hidden="1" customHeight="1" x14ac:dyDescent="0.25">
      <c r="A2" s="338"/>
      <c r="B2" s="338"/>
      <c r="C2" s="9"/>
      <c r="D2" s="9"/>
      <c r="E2" s="9"/>
      <c r="F2" s="12"/>
    </row>
    <row r="3" spans="1:15" hidden="1" x14ac:dyDescent="0.2">
      <c r="A3" s="13"/>
      <c r="B3" s="13"/>
      <c r="C3" s="13"/>
      <c r="D3" s="13"/>
      <c r="E3" s="13"/>
      <c r="F3" s="13"/>
    </row>
    <row r="4" spans="1:15" hidden="1" x14ac:dyDescent="0.2">
      <c r="A4" s="14" t="s">
        <v>228</v>
      </c>
      <c r="B4" s="14" t="s">
        <v>222</v>
      </c>
      <c r="C4" s="13"/>
      <c r="E4" s="13"/>
      <c r="F4" s="13"/>
    </row>
    <row r="5" spans="1:15" x14ac:dyDescent="0.2">
      <c r="A5" s="12"/>
      <c r="B5" s="13"/>
      <c r="C5" s="13"/>
      <c r="D5" s="13"/>
      <c r="E5" s="13"/>
    </row>
    <row r="6" spans="1:15" x14ac:dyDescent="0.2">
      <c r="A6" s="339" t="s">
        <v>0</v>
      </c>
      <c r="B6" s="339"/>
      <c r="C6" s="15"/>
      <c r="D6" s="15"/>
      <c r="E6" s="15"/>
    </row>
    <row r="7" spans="1:15" x14ac:dyDescent="0.2">
      <c r="A7" s="16"/>
      <c r="B7" s="16"/>
    </row>
    <row r="8" spans="1:15" ht="15" x14ac:dyDescent="0.2">
      <c r="A8" s="340" t="s">
        <v>338</v>
      </c>
      <c r="B8" s="340"/>
      <c r="E8" s="19"/>
    </row>
    <row r="10" spans="1:15" x14ac:dyDescent="0.2">
      <c r="A10" s="36" t="s">
        <v>15</v>
      </c>
    </row>
    <row r="12" spans="1:15" x14ac:dyDescent="0.2">
      <c r="A12" s="21" t="s">
        <v>154</v>
      </c>
      <c r="B12" s="22">
        <f>G14</f>
        <v>685976</v>
      </c>
      <c r="C12" s="11" t="s">
        <v>37</v>
      </c>
      <c r="E12" s="132" t="s">
        <v>668</v>
      </c>
      <c r="F12" s="132" t="s">
        <v>236</v>
      </c>
      <c r="G12" s="69">
        <v>458204</v>
      </c>
      <c r="I12" t="s">
        <v>547</v>
      </c>
      <c r="J12" t="s">
        <v>548</v>
      </c>
      <c r="K12" s="230" t="s">
        <v>549</v>
      </c>
      <c r="L12" t="s">
        <v>550</v>
      </c>
      <c r="M12" t="s">
        <v>551</v>
      </c>
    </row>
    <row r="13" spans="1:15" x14ac:dyDescent="0.2">
      <c r="A13" s="21" t="s">
        <v>16</v>
      </c>
      <c r="B13" s="22">
        <v>60</v>
      </c>
      <c r="C13" s="11" t="s">
        <v>55</v>
      </c>
      <c r="F13" s="11" t="s">
        <v>238</v>
      </c>
      <c r="G13" s="63">
        <f>210900*1.08</f>
        <v>227772.00000000003</v>
      </c>
      <c r="I13">
        <v>1</v>
      </c>
      <c r="J13" s="230">
        <f>$G$14</f>
        <v>685976</v>
      </c>
      <c r="K13" s="230">
        <f>SLN($G$14,$B$15,$G$15)</f>
        <v>109756.16</v>
      </c>
      <c r="L13" s="230">
        <f>K13</f>
        <v>109756.16</v>
      </c>
      <c r="M13" s="230">
        <f>J13-L13</f>
        <v>576219.84</v>
      </c>
      <c r="O13" s="63">
        <f>(G19/G14)*100</f>
        <v>0</v>
      </c>
    </row>
    <row r="14" spans="1:15" x14ac:dyDescent="0.2">
      <c r="A14" s="21" t="s">
        <v>17</v>
      </c>
      <c r="B14" s="64">
        <v>0.2</v>
      </c>
      <c r="G14" s="63">
        <f>G12+G13</f>
        <v>685976</v>
      </c>
      <c r="I14">
        <v>2</v>
      </c>
      <c r="J14" s="230">
        <f>$G$14</f>
        <v>685976</v>
      </c>
      <c r="K14" s="230">
        <f>SLN($G$14,$B$15,$G$15)</f>
        <v>109756.16</v>
      </c>
      <c r="L14" s="230">
        <f>K14+L13</f>
        <v>219512.32000000001</v>
      </c>
      <c r="M14" s="230">
        <f>J14-L14</f>
        <v>466463.68</v>
      </c>
      <c r="O14" s="63">
        <f>($G$19/M13)*100</f>
        <v>0</v>
      </c>
    </row>
    <row r="15" spans="1:15" x14ac:dyDescent="0.2">
      <c r="A15" s="21" t="s">
        <v>235</v>
      </c>
      <c r="B15" s="24">
        <f>G14*B14</f>
        <v>137195.20000000001</v>
      </c>
      <c r="G15" s="63">
        <v>5</v>
      </c>
      <c r="I15">
        <v>3</v>
      </c>
      <c r="J15" s="230">
        <f>$G$14</f>
        <v>685976</v>
      </c>
      <c r="K15" s="230">
        <f>SLN($G$14,$B$15,$G$15)</f>
        <v>109756.16</v>
      </c>
      <c r="L15" s="230">
        <f>K15+L14</f>
        <v>329268.47999999998</v>
      </c>
      <c r="M15" s="230">
        <f>J15-L15</f>
        <v>356707.52</v>
      </c>
      <c r="O15" s="63">
        <f>($G$19/M14)*100</f>
        <v>0</v>
      </c>
    </row>
    <row r="16" spans="1:15" x14ac:dyDescent="0.2">
      <c r="A16" s="11" t="s">
        <v>234</v>
      </c>
      <c r="B16" s="22">
        <f>(B12-B15)/B13</f>
        <v>9146.3466666666682</v>
      </c>
      <c r="C16" s="11" t="s">
        <v>131</v>
      </c>
      <c r="G16" s="63">
        <f>G14/G12</f>
        <v>1.4970973627467241</v>
      </c>
      <c r="I16">
        <v>4</v>
      </c>
      <c r="J16" s="230">
        <f>$G$14</f>
        <v>685976</v>
      </c>
      <c r="K16" s="230">
        <f>SLN($G$14,$B$15,$G$15)</f>
        <v>109756.16</v>
      </c>
      <c r="L16" s="230">
        <f>K16+L15</f>
        <v>439024.64000000001</v>
      </c>
      <c r="M16" s="230">
        <f>J16-L16</f>
        <v>246951.36</v>
      </c>
      <c r="O16" s="63">
        <f>($G$19/M15)*100</f>
        <v>0</v>
      </c>
    </row>
    <row r="17" spans="1:15" x14ac:dyDescent="0.2">
      <c r="F17" s="11" t="s">
        <v>673</v>
      </c>
      <c r="G17" s="63">
        <f>218427*G16</f>
        <v>327006.4856526787</v>
      </c>
      <c r="I17">
        <v>5</v>
      </c>
      <c r="J17" s="230">
        <f>$G$14</f>
        <v>685976</v>
      </c>
      <c r="K17" s="230">
        <f>SLN($G$14,$B$15,$G$15)</f>
        <v>109756.16</v>
      </c>
      <c r="L17" s="230">
        <f>K17+L16</f>
        <v>548780.80000000005</v>
      </c>
      <c r="M17" s="230">
        <f>J17-L17</f>
        <v>137195.19999999995</v>
      </c>
      <c r="O17" s="63">
        <f>($G$19/M16)*100</f>
        <v>0</v>
      </c>
    </row>
    <row r="18" spans="1:15" x14ac:dyDescent="0.2">
      <c r="A18" s="20" t="s">
        <v>18</v>
      </c>
      <c r="O18" s="63">
        <f>($G$19/M17)*100</f>
        <v>0</v>
      </c>
    </row>
    <row r="20" spans="1:15" x14ac:dyDescent="0.2">
      <c r="A20" s="65" t="s">
        <v>19</v>
      </c>
      <c r="B20" s="16">
        <f>+B12</f>
        <v>685976</v>
      </c>
      <c r="C20" s="11" t="s">
        <v>37</v>
      </c>
      <c r="E20" s="71"/>
    </row>
    <row r="21" spans="1:15" x14ac:dyDescent="0.2">
      <c r="A21" s="65" t="s">
        <v>566</v>
      </c>
      <c r="B21" s="232">
        <v>0.11749999999999999</v>
      </c>
    </row>
    <row r="22" spans="1:15" x14ac:dyDescent="0.2">
      <c r="A22" s="65" t="s">
        <v>21</v>
      </c>
      <c r="B22" s="16">
        <f>((B12-B15)*B21)/12</f>
        <v>5373.4786666666669</v>
      </c>
      <c r="C22" s="11" t="s">
        <v>131</v>
      </c>
    </row>
    <row r="23" spans="1:15" x14ac:dyDescent="0.2">
      <c r="A23" s="16" t="s">
        <v>8</v>
      </c>
      <c r="B23" s="16" t="s">
        <v>8</v>
      </c>
    </row>
    <row r="24" spans="1:15" x14ac:dyDescent="0.2">
      <c r="A24" s="18" t="s">
        <v>22</v>
      </c>
      <c r="B24" s="16" t="s">
        <v>8</v>
      </c>
    </row>
    <row r="26" spans="1:15" x14ac:dyDescent="0.2">
      <c r="A26" s="21" t="s">
        <v>23</v>
      </c>
      <c r="B26" s="22">
        <f>DADOS!D21</f>
        <v>6.5910000000000002</v>
      </c>
      <c r="C26" s="11" t="s">
        <v>213</v>
      </c>
    </row>
    <row r="27" spans="1:15" x14ac:dyDescent="0.2">
      <c r="A27" s="21" t="s">
        <v>601</v>
      </c>
      <c r="B27" s="22">
        <f>E27*26.08</f>
        <v>1142.8255999999999</v>
      </c>
      <c r="C27" s="11" t="s">
        <v>215</v>
      </c>
      <c r="E27" s="11">
        <v>43.82</v>
      </c>
      <c r="I27" s="71"/>
      <c r="K27" s="63"/>
    </row>
    <row r="28" spans="1:15" x14ac:dyDescent="0.2">
      <c r="A28" s="21" t="s">
        <v>24</v>
      </c>
      <c r="B28" s="22">
        <v>1.5</v>
      </c>
      <c r="C28" s="11" t="s">
        <v>214</v>
      </c>
      <c r="K28" s="63"/>
      <c r="L28" s="63"/>
    </row>
    <row r="29" spans="1:15" x14ac:dyDescent="0.2">
      <c r="A29" s="23" t="s">
        <v>25</v>
      </c>
      <c r="B29" s="22">
        <f>+(B27/B28)*B26</f>
        <v>5021.5756863999995</v>
      </c>
      <c r="C29" s="11" t="s">
        <v>131</v>
      </c>
      <c r="E29" s="25"/>
      <c r="K29" s="63"/>
    </row>
    <row r="30" spans="1:15" x14ac:dyDescent="0.2">
      <c r="A30" s="21"/>
      <c r="B30" s="22"/>
      <c r="K30" s="63"/>
    </row>
    <row r="31" spans="1:15" x14ac:dyDescent="0.2">
      <c r="A31" s="18" t="s">
        <v>26</v>
      </c>
      <c r="B31" s="16" t="s">
        <v>8</v>
      </c>
      <c r="K31" s="63"/>
    </row>
    <row r="32" spans="1:15" x14ac:dyDescent="0.2">
      <c r="K32" s="63"/>
    </row>
    <row r="33" spans="1:7" x14ac:dyDescent="0.2">
      <c r="A33" s="21" t="s">
        <v>94</v>
      </c>
      <c r="B33" s="22">
        <f>'BASCULANTE 6'!B33</f>
        <v>16739.400000000001</v>
      </c>
      <c r="C33" s="11" t="s">
        <v>37</v>
      </c>
    </row>
    <row r="34" spans="1:7" x14ac:dyDescent="0.2">
      <c r="A34" s="21" t="s">
        <v>27</v>
      </c>
      <c r="B34" s="22">
        <v>50000</v>
      </c>
      <c r="C34" s="11" t="s">
        <v>45</v>
      </c>
    </row>
    <row r="35" spans="1:7" x14ac:dyDescent="0.2">
      <c r="A35" s="21" t="s">
        <v>477</v>
      </c>
      <c r="B35" s="22">
        <f>B27</f>
        <v>1142.8255999999999</v>
      </c>
      <c r="C35" s="11" t="s">
        <v>215</v>
      </c>
    </row>
    <row r="36" spans="1:7" x14ac:dyDescent="0.2">
      <c r="A36" s="21" t="s">
        <v>28</v>
      </c>
      <c r="B36" s="22">
        <f>+(B33*B35)/B34</f>
        <v>382.60429697279994</v>
      </c>
      <c r="C36" s="11" t="s">
        <v>131</v>
      </c>
      <c r="E36" s="25"/>
      <c r="G36" s="320"/>
    </row>
    <row r="37" spans="1:7" x14ac:dyDescent="0.2">
      <c r="A37" s="21"/>
      <c r="B37" s="22"/>
    </row>
    <row r="38" spans="1:7" x14ac:dyDescent="0.2">
      <c r="A38" s="21" t="s">
        <v>29</v>
      </c>
    </row>
    <row r="39" spans="1:7" x14ac:dyDescent="0.2">
      <c r="A39" s="21" t="s">
        <v>7</v>
      </c>
    </row>
    <row r="40" spans="1:7" x14ac:dyDescent="0.2">
      <c r="A40" s="21" t="s">
        <v>30</v>
      </c>
      <c r="B40" s="64">
        <v>0.13</v>
      </c>
      <c r="E40" s="64">
        <v>0.13</v>
      </c>
    </row>
    <row r="41" spans="1:7" x14ac:dyDescent="0.2">
      <c r="A41" s="21" t="s">
        <v>582</v>
      </c>
      <c r="B41" s="25">
        <f>G14</f>
        <v>685976</v>
      </c>
      <c r="C41" s="11" t="s">
        <v>37</v>
      </c>
      <c r="E41" s="25">
        <f>J14</f>
        <v>685976</v>
      </c>
    </row>
    <row r="42" spans="1:7" x14ac:dyDescent="0.2">
      <c r="A42" s="21" t="s">
        <v>32</v>
      </c>
      <c r="B42" s="22">
        <v>12</v>
      </c>
      <c r="C42" s="11" t="s">
        <v>55</v>
      </c>
      <c r="E42" s="22">
        <v>12</v>
      </c>
    </row>
    <row r="43" spans="1:7" x14ac:dyDescent="0.2">
      <c r="A43" s="21" t="s">
        <v>33</v>
      </c>
      <c r="B43" s="22">
        <f>+(B40*B41)/B42</f>
        <v>7431.4066666666668</v>
      </c>
      <c r="C43" s="11" t="s">
        <v>131</v>
      </c>
      <c r="E43" s="22">
        <f>+(E40*E41)/E42</f>
        <v>7431.4066666666668</v>
      </c>
    </row>
    <row r="45" spans="1:7" x14ac:dyDescent="0.2">
      <c r="A45" s="23" t="s">
        <v>74</v>
      </c>
      <c r="B45" s="22"/>
    </row>
    <row r="46" spans="1:7" x14ac:dyDescent="0.2">
      <c r="A46" s="21"/>
      <c r="B46" s="22"/>
    </row>
    <row r="47" spans="1:7" x14ac:dyDescent="0.2">
      <c r="A47" s="23" t="s">
        <v>187</v>
      </c>
      <c r="B47" s="30">
        <f>'BASCULANTE 6'!B47</f>
        <v>62.22</v>
      </c>
      <c r="C47" s="11" t="s">
        <v>131</v>
      </c>
    </row>
    <row r="48" spans="1:7" x14ac:dyDescent="0.2">
      <c r="A48" s="23" t="s">
        <v>76</v>
      </c>
      <c r="B48" s="22">
        <v>20.36</v>
      </c>
      <c r="C48" s="11" t="s">
        <v>131</v>
      </c>
    </row>
    <row r="49" spans="1:5" x14ac:dyDescent="0.2">
      <c r="A49" s="23" t="s">
        <v>77</v>
      </c>
      <c r="B49" s="22">
        <v>8.6</v>
      </c>
      <c r="C49" s="11" t="s">
        <v>131</v>
      </c>
    </row>
    <row r="50" spans="1:5" x14ac:dyDescent="0.2">
      <c r="A50" s="23" t="s">
        <v>78</v>
      </c>
      <c r="B50" s="22">
        <f>5.3*2.5</f>
        <v>13.25</v>
      </c>
      <c r="C50" s="11" t="s">
        <v>131</v>
      </c>
    </row>
    <row r="51" spans="1:5" x14ac:dyDescent="0.2">
      <c r="A51" s="23" t="s">
        <v>567</v>
      </c>
      <c r="B51" s="22">
        <f>10*20</f>
        <v>200</v>
      </c>
      <c r="C51" s="11" t="s">
        <v>131</v>
      </c>
    </row>
    <row r="52" spans="1:5" x14ac:dyDescent="0.2">
      <c r="A52" s="23" t="s">
        <v>79</v>
      </c>
      <c r="B52" s="22">
        <f>(+B47+B48+B49+B50)*15%</f>
        <v>15.664499999999999</v>
      </c>
      <c r="C52" s="11" t="s">
        <v>131</v>
      </c>
    </row>
    <row r="53" spans="1:5" x14ac:dyDescent="0.2">
      <c r="A53" s="23" t="s">
        <v>80</v>
      </c>
      <c r="B53" s="68">
        <f>+B47+B48+B49+B50+B51+B52</f>
        <v>320.09449999999998</v>
      </c>
      <c r="C53" s="11" t="s">
        <v>131</v>
      </c>
    </row>
    <row r="54" spans="1:5" x14ac:dyDescent="0.2">
      <c r="A54" s="23"/>
      <c r="B54" s="22"/>
    </row>
    <row r="55" spans="1:5" x14ac:dyDescent="0.2">
      <c r="A55" s="23" t="s">
        <v>81</v>
      </c>
      <c r="B55" s="22"/>
    </row>
    <row r="56" spans="1:5" x14ac:dyDescent="0.2">
      <c r="A56" s="23"/>
      <c r="B56" s="22"/>
    </row>
    <row r="57" spans="1:5" x14ac:dyDescent="0.2">
      <c r="A57" s="23" t="s">
        <v>153</v>
      </c>
      <c r="B57" s="22">
        <f>(+G17*3%)/12</f>
        <v>817.51621413169676</v>
      </c>
      <c r="C57" s="11" t="s">
        <v>131</v>
      </c>
    </row>
    <row r="58" spans="1:5" x14ac:dyDescent="0.2">
      <c r="A58" s="23" t="s">
        <v>569</v>
      </c>
      <c r="B58" s="22">
        <f>(173.52+(+G12*1.5%))/12</f>
        <v>587.21500000000003</v>
      </c>
      <c r="C58" s="11" t="s">
        <v>131</v>
      </c>
    </row>
    <row r="59" spans="1:5" x14ac:dyDescent="0.2">
      <c r="A59" s="11" t="s">
        <v>82</v>
      </c>
      <c r="B59" s="35">
        <f>+B57+B58</f>
        <v>1404.7312141316968</v>
      </c>
      <c r="C59" s="11" t="s">
        <v>131</v>
      </c>
    </row>
    <row r="61" spans="1:5" x14ac:dyDescent="0.2">
      <c r="A61" s="26" t="s">
        <v>83</v>
      </c>
      <c r="B61" s="27">
        <f>B59+B53+B43+B36+B29+B22+B16</f>
        <v>29080.237697504497</v>
      </c>
      <c r="C61" s="31" t="s">
        <v>131</v>
      </c>
      <c r="E61" s="25"/>
    </row>
    <row r="63" spans="1:5" hidden="1" x14ac:dyDescent="0.2">
      <c r="A63" s="26" t="s">
        <v>439</v>
      </c>
      <c r="B63" s="209">
        <f>(B29+B36+B53)-B51</f>
        <v>5524.2744833727993</v>
      </c>
      <c r="C63" s="26" t="s">
        <v>131</v>
      </c>
    </row>
    <row r="68" spans="2:4" x14ac:dyDescent="0.2">
      <c r="B68" s="71">
        <f>B61*60</f>
        <v>1744814.2618502697</v>
      </c>
      <c r="C68" s="25">
        <f>B12</f>
        <v>685976</v>
      </c>
      <c r="D68" s="11">
        <f>B68/C68</f>
        <v>2.5435500102777207</v>
      </c>
    </row>
  </sheetData>
  <mergeCells count="4">
    <mergeCell ref="A8:B8"/>
    <mergeCell ref="A1:B1"/>
    <mergeCell ref="A2:B2"/>
    <mergeCell ref="A6:B6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1"/>
  <sheetViews>
    <sheetView view="pageBreakPreview" topLeftCell="A5" zoomScaleSheetLayoutView="100" workbookViewId="0">
      <selection activeCell="B24" sqref="B24"/>
    </sheetView>
  </sheetViews>
  <sheetFormatPr defaultColWidth="12" defaultRowHeight="12.75" x14ac:dyDescent="0.2"/>
  <cols>
    <col min="1" max="1" width="60" style="11" customWidth="1"/>
    <col min="2" max="2" width="17.83203125" style="11" customWidth="1"/>
    <col min="3" max="5" width="12" style="11" customWidth="1"/>
    <col min="6" max="6" width="21.33203125" style="11" customWidth="1"/>
    <col min="7" max="7" width="15.6640625" style="11" customWidth="1"/>
    <col min="8" max="8" width="14.33203125" style="11" customWidth="1"/>
    <col min="9" max="16384" width="12" style="11"/>
  </cols>
  <sheetData>
    <row r="1" spans="1:8" ht="18.75" hidden="1" x14ac:dyDescent="0.3">
      <c r="A1" s="338" t="s">
        <v>226</v>
      </c>
      <c r="B1" s="338"/>
      <c r="C1" s="205"/>
      <c r="D1" s="205"/>
      <c r="E1" s="205"/>
      <c r="F1" s="10"/>
    </row>
    <row r="2" spans="1:8" ht="18" hidden="1" customHeight="1" x14ac:dyDescent="0.25">
      <c r="A2" s="338"/>
      <c r="B2" s="338"/>
      <c r="C2" s="205"/>
      <c r="D2" s="205"/>
      <c r="E2" s="205"/>
      <c r="F2" s="12"/>
    </row>
    <row r="3" spans="1:8" hidden="1" x14ac:dyDescent="0.2">
      <c r="A3" s="13"/>
      <c r="B3" s="13"/>
      <c r="C3" s="13"/>
      <c r="D3" s="13"/>
      <c r="E3" s="13"/>
      <c r="F3" s="13"/>
    </row>
    <row r="4" spans="1:8" hidden="1" x14ac:dyDescent="0.2">
      <c r="A4" s="208" t="s">
        <v>228</v>
      </c>
      <c r="B4" s="208" t="s">
        <v>222</v>
      </c>
      <c r="C4" s="13"/>
      <c r="E4" s="13"/>
      <c r="F4" s="13"/>
    </row>
    <row r="5" spans="1:8" x14ac:dyDescent="0.2">
      <c r="A5" s="12"/>
      <c r="B5" s="13"/>
      <c r="C5" s="13"/>
      <c r="D5" s="13"/>
      <c r="E5" s="13"/>
    </row>
    <row r="6" spans="1:8" x14ac:dyDescent="0.2">
      <c r="A6" s="339" t="s">
        <v>0</v>
      </c>
      <c r="B6" s="339"/>
      <c r="C6" s="206"/>
      <c r="D6" s="206"/>
      <c r="E6" s="206"/>
    </row>
    <row r="7" spans="1:8" x14ac:dyDescent="0.2">
      <c r="A7" s="16"/>
      <c r="B7" s="16"/>
      <c r="C7" s="16"/>
      <c r="D7" s="16"/>
    </row>
    <row r="8" spans="1:8" x14ac:dyDescent="0.2">
      <c r="A8" s="207" t="s">
        <v>449</v>
      </c>
      <c r="B8" s="18"/>
      <c r="C8" s="18"/>
      <c r="D8" s="18"/>
      <c r="E8" s="19"/>
    </row>
    <row r="9" spans="1:8" x14ac:dyDescent="0.2">
      <c r="A9" s="16"/>
      <c r="B9" s="16"/>
      <c r="C9" s="16"/>
      <c r="D9" s="16"/>
    </row>
    <row r="10" spans="1:8" x14ac:dyDescent="0.2">
      <c r="A10" s="36" t="s">
        <v>15</v>
      </c>
    </row>
    <row r="12" spans="1:8" x14ac:dyDescent="0.2">
      <c r="A12" s="21" t="s">
        <v>450</v>
      </c>
      <c r="B12" s="22">
        <f>H14</f>
        <v>237381</v>
      </c>
      <c r="C12" s="11" t="s">
        <v>37</v>
      </c>
      <c r="F12" s="11" t="s">
        <v>460</v>
      </c>
      <c r="G12" s="11" t="s">
        <v>236</v>
      </c>
      <c r="H12" s="63">
        <v>237381</v>
      </c>
    </row>
    <row r="13" spans="1:8" x14ac:dyDescent="0.2">
      <c r="A13" s="21" t="s">
        <v>16</v>
      </c>
      <c r="B13" s="22">
        <v>60</v>
      </c>
      <c r="C13" s="11" t="s">
        <v>55</v>
      </c>
      <c r="G13" s="11" t="s">
        <v>452</v>
      </c>
      <c r="H13" s="63"/>
    </row>
    <row r="14" spans="1:8" x14ac:dyDescent="0.2">
      <c r="A14" s="21" t="s">
        <v>17</v>
      </c>
      <c r="B14" s="64">
        <v>0.2</v>
      </c>
      <c r="H14" s="63">
        <f>H12+(H13*2)</f>
        <v>237381</v>
      </c>
    </row>
    <row r="15" spans="1:8" x14ac:dyDescent="0.2">
      <c r="A15" s="21" t="s">
        <v>235</v>
      </c>
      <c r="B15" s="24">
        <f>H12*B14</f>
        <v>47476.200000000004</v>
      </c>
    </row>
    <row r="16" spans="1:8" x14ac:dyDescent="0.2">
      <c r="A16" s="11" t="s">
        <v>234</v>
      </c>
      <c r="B16" s="22">
        <f>((+B12)-(B15))/B13</f>
        <v>3165.08</v>
      </c>
      <c r="C16" s="11" t="s">
        <v>131</v>
      </c>
    </row>
    <row r="18" spans="1:6" x14ac:dyDescent="0.2">
      <c r="A18" s="20" t="s">
        <v>18</v>
      </c>
    </row>
    <row r="20" spans="1:6" x14ac:dyDescent="0.2">
      <c r="A20" s="65" t="s">
        <v>19</v>
      </c>
      <c r="B20" s="16">
        <f>+B12</f>
        <v>237381</v>
      </c>
      <c r="C20" s="16" t="s">
        <v>37</v>
      </c>
      <c r="D20" s="16"/>
    </row>
    <row r="21" spans="1:6" x14ac:dyDescent="0.2">
      <c r="A21" s="65" t="s">
        <v>20</v>
      </c>
      <c r="B21" s="66">
        <v>0.01</v>
      </c>
      <c r="C21" s="16"/>
      <c r="D21" s="16"/>
    </row>
    <row r="22" spans="1:6" x14ac:dyDescent="0.2">
      <c r="A22" s="65" t="s">
        <v>21</v>
      </c>
      <c r="B22" s="16">
        <f>+B20*B21</f>
        <v>2373.81</v>
      </c>
      <c r="C22" s="16" t="s">
        <v>131</v>
      </c>
      <c r="D22" s="16"/>
    </row>
    <row r="23" spans="1:6" x14ac:dyDescent="0.2">
      <c r="A23" s="16" t="s">
        <v>8</v>
      </c>
      <c r="B23" s="16" t="s">
        <v>8</v>
      </c>
      <c r="C23" s="16" t="s">
        <v>8</v>
      </c>
      <c r="D23" s="16"/>
    </row>
    <row r="24" spans="1:6" x14ac:dyDescent="0.2">
      <c r="A24" s="18" t="s">
        <v>22</v>
      </c>
      <c r="B24" s="16" t="s">
        <v>8</v>
      </c>
      <c r="C24" s="16" t="s">
        <v>8</v>
      </c>
      <c r="D24" s="16" t="s">
        <v>8</v>
      </c>
    </row>
    <row r="26" spans="1:6" x14ac:dyDescent="0.2">
      <c r="A26" s="21" t="s">
        <v>453</v>
      </c>
      <c r="B26" s="22">
        <f>DADOS!D21</f>
        <v>6.5910000000000002</v>
      </c>
      <c r="C26" s="11" t="s">
        <v>213</v>
      </c>
    </row>
    <row r="27" spans="1:6" x14ac:dyDescent="0.2">
      <c r="A27" s="21" t="s">
        <v>454</v>
      </c>
      <c r="B27" s="22">
        <f>180*26</f>
        <v>4680</v>
      </c>
      <c r="C27" s="11" t="s">
        <v>45</v>
      </c>
      <c r="F27" s="11">
        <f>30*6</f>
        <v>180</v>
      </c>
    </row>
    <row r="28" spans="1:6" x14ac:dyDescent="0.2">
      <c r="A28" s="21" t="s">
        <v>24</v>
      </c>
      <c r="B28" s="22">
        <v>1.5</v>
      </c>
      <c r="C28" s="11" t="s">
        <v>214</v>
      </c>
    </row>
    <row r="29" spans="1:6" x14ac:dyDescent="0.2">
      <c r="A29" s="23" t="s">
        <v>25</v>
      </c>
      <c r="B29" s="22">
        <f>+(B27/B28)*B26</f>
        <v>20563.920000000002</v>
      </c>
      <c r="C29" s="11" t="s">
        <v>131</v>
      </c>
    </row>
    <row r="30" spans="1:6" x14ac:dyDescent="0.2">
      <c r="A30" s="21"/>
      <c r="B30" s="22"/>
    </row>
    <row r="31" spans="1:6" x14ac:dyDescent="0.2">
      <c r="A31" s="18" t="s">
        <v>26</v>
      </c>
      <c r="B31" s="16" t="s">
        <v>8</v>
      </c>
    </row>
    <row r="33" spans="1:3" x14ac:dyDescent="0.2">
      <c r="A33" s="21" t="s">
        <v>455</v>
      </c>
      <c r="B33" s="22">
        <f>1350*(6)</f>
        <v>8100</v>
      </c>
      <c r="C33" s="11" t="s">
        <v>37</v>
      </c>
    </row>
    <row r="34" spans="1:3" x14ac:dyDescent="0.2">
      <c r="A34" s="21" t="s">
        <v>27</v>
      </c>
      <c r="B34" s="22">
        <v>45000</v>
      </c>
      <c r="C34" s="11" t="s">
        <v>45</v>
      </c>
    </row>
    <row r="35" spans="1:3" x14ac:dyDescent="0.2">
      <c r="A35" s="21" t="s">
        <v>456</v>
      </c>
      <c r="B35" s="22">
        <f>B27</f>
        <v>4680</v>
      </c>
      <c r="C35" s="11" t="s">
        <v>215</v>
      </c>
    </row>
    <row r="36" spans="1:3" x14ac:dyDescent="0.2">
      <c r="A36" s="21" t="s">
        <v>457</v>
      </c>
      <c r="B36" s="22">
        <f>+(B33*B35)/B34</f>
        <v>842.4</v>
      </c>
      <c r="C36" s="11" t="s">
        <v>131</v>
      </c>
    </row>
    <row r="37" spans="1:3" x14ac:dyDescent="0.2">
      <c r="A37" s="21"/>
      <c r="B37" s="22"/>
    </row>
    <row r="38" spans="1:3" x14ac:dyDescent="0.2">
      <c r="A38" s="20" t="s">
        <v>29</v>
      </c>
    </row>
    <row r="39" spans="1:3" x14ac:dyDescent="0.2">
      <c r="A39" s="21" t="s">
        <v>7</v>
      </c>
    </row>
    <row r="40" spans="1:3" x14ac:dyDescent="0.2">
      <c r="A40" s="21" t="s">
        <v>30</v>
      </c>
      <c r="B40" s="64">
        <v>0.65</v>
      </c>
    </row>
    <row r="41" spans="1:3" x14ac:dyDescent="0.2">
      <c r="A41" s="21" t="s">
        <v>31</v>
      </c>
      <c r="B41" s="25">
        <f>B12</f>
        <v>237381</v>
      </c>
      <c r="C41" s="11" t="s">
        <v>37</v>
      </c>
    </row>
    <row r="42" spans="1:3" x14ac:dyDescent="0.2">
      <c r="A42" s="21" t="s">
        <v>32</v>
      </c>
      <c r="B42" s="22">
        <f>B13</f>
        <v>60</v>
      </c>
      <c r="C42" s="11" t="s">
        <v>55</v>
      </c>
    </row>
    <row r="43" spans="1:3" x14ac:dyDescent="0.2">
      <c r="A43" s="21" t="s">
        <v>33</v>
      </c>
      <c r="B43" s="22">
        <f>+(B40*B41)/B42</f>
        <v>2571.6275000000001</v>
      </c>
      <c r="C43" s="11" t="s">
        <v>131</v>
      </c>
    </row>
    <row r="45" spans="1:3" x14ac:dyDescent="0.2">
      <c r="A45" s="67" t="s">
        <v>74</v>
      </c>
      <c r="B45" s="22"/>
    </row>
    <row r="46" spans="1:3" x14ac:dyDescent="0.2">
      <c r="A46" s="21"/>
      <c r="B46" s="22"/>
    </row>
    <row r="47" spans="1:3" x14ac:dyDescent="0.2">
      <c r="A47" s="23" t="s">
        <v>75</v>
      </c>
      <c r="B47" s="30">
        <f>'BASCULANTE 6'!B47</f>
        <v>62.22</v>
      </c>
      <c r="C47" s="11" t="s">
        <v>131</v>
      </c>
    </row>
    <row r="48" spans="1:3" x14ac:dyDescent="0.2">
      <c r="A48" s="23" t="s">
        <v>76</v>
      </c>
      <c r="B48" s="22" t="e">
        <f>#REF!</f>
        <v>#REF!</v>
      </c>
      <c r="C48" s="11" t="s">
        <v>131</v>
      </c>
    </row>
    <row r="49" spans="1:3" x14ac:dyDescent="0.2">
      <c r="A49" s="23" t="s">
        <v>77</v>
      </c>
      <c r="B49" s="22" t="e">
        <f>#REF!/#REF!</f>
        <v>#REF!</v>
      </c>
    </row>
    <row r="50" spans="1:3" x14ac:dyDescent="0.2">
      <c r="A50" s="23" t="s">
        <v>78</v>
      </c>
      <c r="B50" s="22">
        <f>5.3*2.5</f>
        <v>13.25</v>
      </c>
      <c r="C50" s="11" t="s">
        <v>131</v>
      </c>
    </row>
    <row r="51" spans="1:3" x14ac:dyDescent="0.2">
      <c r="A51" s="23" t="s">
        <v>461</v>
      </c>
      <c r="B51" s="22">
        <f>26*20</f>
        <v>520</v>
      </c>
      <c r="C51" s="11" t="s">
        <v>131</v>
      </c>
    </row>
    <row r="52" spans="1:3" x14ac:dyDescent="0.2">
      <c r="A52" s="23" t="s">
        <v>79</v>
      </c>
      <c r="B52" s="22" t="e">
        <f>(+B47+B48+B49+B50)*15%</f>
        <v>#REF!</v>
      </c>
      <c r="C52" s="11" t="s">
        <v>131</v>
      </c>
    </row>
    <row r="53" spans="1:3" x14ac:dyDescent="0.2">
      <c r="A53" s="23" t="s">
        <v>80</v>
      </c>
      <c r="B53" s="68" t="e">
        <f>+B47+B48+B49+B50+B51+B52</f>
        <v>#REF!</v>
      </c>
      <c r="C53" s="11" t="s">
        <v>131</v>
      </c>
    </row>
    <row r="54" spans="1:3" x14ac:dyDescent="0.2">
      <c r="A54" s="23"/>
      <c r="B54" s="22"/>
    </row>
    <row r="55" spans="1:3" x14ac:dyDescent="0.2">
      <c r="A55" s="67" t="s">
        <v>81</v>
      </c>
      <c r="B55" s="22"/>
    </row>
    <row r="56" spans="1:3" x14ac:dyDescent="0.2">
      <c r="A56" s="23"/>
      <c r="B56" s="22"/>
    </row>
    <row r="57" spans="1:3" x14ac:dyDescent="0.2">
      <c r="A57" s="23" t="s">
        <v>153</v>
      </c>
      <c r="B57" s="22">
        <f>(+B20*3%)/12</f>
        <v>593.45249999999999</v>
      </c>
      <c r="C57" s="11" t="s">
        <v>131</v>
      </c>
    </row>
    <row r="58" spans="1:3" x14ac:dyDescent="0.2">
      <c r="A58" s="23" t="s">
        <v>152</v>
      </c>
      <c r="B58" s="22">
        <f>(+B20*1.5%)/12</f>
        <v>296.72624999999999</v>
      </c>
      <c r="C58" s="11" t="s">
        <v>131</v>
      </c>
    </row>
    <row r="59" spans="1:3" x14ac:dyDescent="0.2">
      <c r="A59" s="11" t="s">
        <v>82</v>
      </c>
      <c r="B59" s="35">
        <f>+B57+B58</f>
        <v>890.17875000000004</v>
      </c>
      <c r="C59" s="11" t="s">
        <v>131</v>
      </c>
    </row>
    <row r="61" spans="1:3" x14ac:dyDescent="0.2">
      <c r="A61" s="26" t="s">
        <v>83</v>
      </c>
      <c r="B61" s="27" t="e">
        <f>B59+B53+B43+B36+B29+B22+B16</f>
        <v>#REF!</v>
      </c>
      <c r="C61" s="31" t="s">
        <v>131</v>
      </c>
    </row>
  </sheetData>
  <mergeCells count="3">
    <mergeCell ref="A1:B1"/>
    <mergeCell ref="A2:B2"/>
    <mergeCell ref="A6:B6"/>
  </mergeCells>
  <pageMargins left="0.511811024" right="0.511811024" top="0.78740157499999996" bottom="0.78740157499999996" header="0.31496062000000002" footer="0.31496062000000002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1"/>
  <sheetViews>
    <sheetView view="pageBreakPreview" topLeftCell="A29" zoomScaleSheetLayoutView="100" workbookViewId="0">
      <selection activeCell="B24" sqref="B24"/>
    </sheetView>
  </sheetViews>
  <sheetFormatPr defaultColWidth="12" defaultRowHeight="12.75" x14ac:dyDescent="0.2"/>
  <cols>
    <col min="1" max="1" width="60" style="11" customWidth="1"/>
    <col min="2" max="2" width="17.83203125" style="11" customWidth="1"/>
    <col min="3" max="5" width="12" style="11" customWidth="1"/>
    <col min="6" max="6" width="15" style="11" customWidth="1"/>
    <col min="7" max="7" width="15.6640625" style="11" customWidth="1"/>
    <col min="8" max="8" width="14.33203125" style="11" customWidth="1"/>
    <col min="9" max="16384" width="12" style="11"/>
  </cols>
  <sheetData>
    <row r="1" spans="1:8" ht="18.75" hidden="1" x14ac:dyDescent="0.3">
      <c r="A1" s="338" t="s">
        <v>226</v>
      </c>
      <c r="B1" s="338"/>
      <c r="C1" s="205"/>
      <c r="D1" s="205"/>
      <c r="E1" s="205"/>
      <c r="F1" s="10"/>
    </row>
    <row r="2" spans="1:8" ht="18" hidden="1" customHeight="1" x14ac:dyDescent="0.25">
      <c r="A2" s="338"/>
      <c r="B2" s="338"/>
      <c r="C2" s="205"/>
      <c r="D2" s="205"/>
      <c r="E2" s="205"/>
      <c r="F2" s="12"/>
    </row>
    <row r="3" spans="1:8" hidden="1" x14ac:dyDescent="0.2">
      <c r="A3" s="13"/>
      <c r="B3" s="13"/>
      <c r="C3" s="13"/>
      <c r="D3" s="13"/>
      <c r="E3" s="13"/>
      <c r="F3" s="13"/>
    </row>
    <row r="4" spans="1:8" hidden="1" x14ac:dyDescent="0.2">
      <c r="A4" s="208" t="s">
        <v>228</v>
      </c>
      <c r="B4" s="208" t="s">
        <v>222</v>
      </c>
      <c r="C4" s="13"/>
      <c r="E4" s="13"/>
      <c r="F4" s="13"/>
    </row>
    <row r="5" spans="1:8" x14ac:dyDescent="0.2">
      <c r="A5" s="12"/>
      <c r="B5" s="13"/>
      <c r="C5" s="13"/>
      <c r="D5" s="13"/>
      <c r="E5" s="13"/>
    </row>
    <row r="6" spans="1:8" x14ac:dyDescent="0.2">
      <c r="A6" s="339" t="s">
        <v>0</v>
      </c>
      <c r="B6" s="339"/>
      <c r="C6" s="206"/>
      <c r="D6" s="206"/>
      <c r="E6" s="206"/>
    </row>
    <row r="7" spans="1:8" x14ac:dyDescent="0.2">
      <c r="A7" s="16"/>
      <c r="B7" s="16"/>
      <c r="C7" s="16"/>
      <c r="D7" s="16"/>
    </row>
    <row r="8" spans="1:8" x14ac:dyDescent="0.2">
      <c r="A8" s="207" t="s">
        <v>458</v>
      </c>
      <c r="B8" s="18"/>
      <c r="C8" s="18"/>
      <c r="D8" s="18"/>
      <c r="E8" s="19"/>
    </row>
    <row r="9" spans="1:8" x14ac:dyDescent="0.2">
      <c r="A9" s="16"/>
      <c r="B9" s="16"/>
      <c r="C9" s="16"/>
      <c r="D9" s="16"/>
    </row>
    <row r="10" spans="1:8" x14ac:dyDescent="0.2">
      <c r="A10" s="36" t="s">
        <v>15</v>
      </c>
    </row>
    <row r="12" spans="1:8" x14ac:dyDescent="0.2">
      <c r="A12" s="21" t="s">
        <v>450</v>
      </c>
      <c r="B12" s="22">
        <f>H14</f>
        <v>121000.00000000001</v>
      </c>
      <c r="C12" s="11" t="s">
        <v>37</v>
      </c>
      <c r="F12" s="11" t="s">
        <v>451</v>
      </c>
      <c r="G12" s="11" t="s">
        <v>236</v>
      </c>
      <c r="H12" s="63"/>
    </row>
    <row r="13" spans="1:8" x14ac:dyDescent="0.2">
      <c r="A13" s="21" t="s">
        <v>16</v>
      </c>
      <c r="B13" s="22">
        <v>60</v>
      </c>
      <c r="C13" s="11" t="s">
        <v>55</v>
      </c>
      <c r="G13" s="11" t="s">
        <v>452</v>
      </c>
      <c r="H13" s="63">
        <f>110000*1.1</f>
        <v>121000.00000000001</v>
      </c>
    </row>
    <row r="14" spans="1:8" x14ac:dyDescent="0.2">
      <c r="A14" s="21" t="s">
        <v>17</v>
      </c>
      <c r="B14" s="64">
        <v>0.2</v>
      </c>
      <c r="H14" s="63">
        <f>H12+(H13)</f>
        <v>121000.00000000001</v>
      </c>
    </row>
    <row r="15" spans="1:8" x14ac:dyDescent="0.2">
      <c r="A15" s="21" t="s">
        <v>235</v>
      </c>
      <c r="B15" s="24">
        <f>H12*B14</f>
        <v>0</v>
      </c>
    </row>
    <row r="16" spans="1:8" x14ac:dyDescent="0.2">
      <c r="A16" s="11" t="s">
        <v>234</v>
      </c>
      <c r="B16" s="22">
        <f>((+B12)-(B15))/B13</f>
        <v>2016.666666666667</v>
      </c>
      <c r="C16" s="11" t="s">
        <v>131</v>
      </c>
    </row>
    <row r="18" spans="1:6" x14ac:dyDescent="0.2">
      <c r="A18" s="20" t="s">
        <v>18</v>
      </c>
    </row>
    <row r="20" spans="1:6" x14ac:dyDescent="0.2">
      <c r="A20" s="65" t="s">
        <v>19</v>
      </c>
      <c r="B20" s="16">
        <f>+B12</f>
        <v>121000.00000000001</v>
      </c>
      <c r="C20" s="16" t="s">
        <v>37</v>
      </c>
      <c r="D20" s="16"/>
    </row>
    <row r="21" spans="1:6" x14ac:dyDescent="0.2">
      <c r="A21" s="65" t="s">
        <v>20</v>
      </c>
      <c r="B21" s="66">
        <v>0.01</v>
      </c>
      <c r="C21" s="16"/>
      <c r="D21" s="16"/>
    </row>
    <row r="22" spans="1:6" x14ac:dyDescent="0.2">
      <c r="A22" s="65" t="s">
        <v>21</v>
      </c>
      <c r="B22" s="16">
        <f>+B20*B21</f>
        <v>1210.0000000000002</v>
      </c>
      <c r="C22" s="16" t="s">
        <v>131</v>
      </c>
      <c r="D22" s="16"/>
    </row>
    <row r="23" spans="1:6" x14ac:dyDescent="0.2">
      <c r="A23" s="16" t="s">
        <v>8</v>
      </c>
      <c r="B23" s="16" t="s">
        <v>8</v>
      </c>
      <c r="C23" s="16" t="s">
        <v>8</v>
      </c>
      <c r="D23" s="16"/>
    </row>
    <row r="24" spans="1:6" x14ac:dyDescent="0.2">
      <c r="A24" s="18" t="s">
        <v>22</v>
      </c>
      <c r="B24" s="16" t="s">
        <v>8</v>
      </c>
      <c r="C24" s="16" t="s">
        <v>8</v>
      </c>
      <c r="D24" s="16" t="s">
        <v>8</v>
      </c>
    </row>
    <row r="26" spans="1:6" x14ac:dyDescent="0.2">
      <c r="A26" s="21" t="s">
        <v>453</v>
      </c>
      <c r="B26" s="22"/>
      <c r="C26" s="11" t="s">
        <v>213</v>
      </c>
    </row>
    <row r="27" spans="1:6" x14ac:dyDescent="0.2">
      <c r="A27" s="21" t="s">
        <v>462</v>
      </c>
      <c r="B27" s="22">
        <f>(180*26)/2</f>
        <v>2340</v>
      </c>
      <c r="C27" s="11" t="s">
        <v>45</v>
      </c>
      <c r="F27" s="11">
        <f>30*6</f>
        <v>180</v>
      </c>
    </row>
    <row r="28" spans="1:6" x14ac:dyDescent="0.2">
      <c r="A28" s="21" t="s">
        <v>24</v>
      </c>
      <c r="B28" s="22">
        <v>1.5</v>
      </c>
      <c r="C28" s="11" t="s">
        <v>214</v>
      </c>
    </row>
    <row r="29" spans="1:6" x14ac:dyDescent="0.2">
      <c r="A29" s="23" t="s">
        <v>25</v>
      </c>
      <c r="B29" s="22">
        <f>+(B27/B28)*B26</f>
        <v>0</v>
      </c>
      <c r="C29" s="11" t="s">
        <v>131</v>
      </c>
    </row>
    <row r="30" spans="1:6" x14ac:dyDescent="0.2">
      <c r="A30" s="21"/>
      <c r="B30" s="22"/>
    </row>
    <row r="31" spans="1:6" x14ac:dyDescent="0.2">
      <c r="A31" s="18" t="s">
        <v>26</v>
      </c>
      <c r="B31" s="16" t="s">
        <v>8</v>
      </c>
    </row>
    <row r="33" spans="1:3" x14ac:dyDescent="0.2">
      <c r="A33" s="21" t="s">
        <v>459</v>
      </c>
      <c r="B33" s="22">
        <f>1350*(12)</f>
        <v>16200</v>
      </c>
      <c r="C33" s="11" t="s">
        <v>37</v>
      </c>
    </row>
    <row r="34" spans="1:3" x14ac:dyDescent="0.2">
      <c r="A34" s="21" t="s">
        <v>27</v>
      </c>
      <c r="B34" s="22">
        <v>45000</v>
      </c>
      <c r="C34" s="11" t="s">
        <v>45</v>
      </c>
    </row>
    <row r="35" spans="1:3" x14ac:dyDescent="0.2">
      <c r="A35" s="21" t="s">
        <v>463</v>
      </c>
      <c r="B35" s="22">
        <f>B27</f>
        <v>2340</v>
      </c>
      <c r="C35" s="11" t="s">
        <v>215</v>
      </c>
    </row>
    <row r="36" spans="1:3" x14ac:dyDescent="0.2">
      <c r="A36" s="21" t="s">
        <v>457</v>
      </c>
      <c r="B36" s="22">
        <f>+(B33*B35)/B34</f>
        <v>842.4</v>
      </c>
      <c r="C36" s="11" t="s">
        <v>131</v>
      </c>
    </row>
    <row r="37" spans="1:3" x14ac:dyDescent="0.2">
      <c r="A37" s="21"/>
      <c r="B37" s="22"/>
    </row>
    <row r="38" spans="1:3" x14ac:dyDescent="0.2">
      <c r="A38" s="20" t="s">
        <v>29</v>
      </c>
    </row>
    <row r="39" spans="1:3" x14ac:dyDescent="0.2">
      <c r="A39" s="21" t="s">
        <v>7</v>
      </c>
    </row>
    <row r="40" spans="1:3" x14ac:dyDescent="0.2">
      <c r="A40" s="21" t="s">
        <v>30</v>
      </c>
      <c r="B40" s="64">
        <v>0.65</v>
      </c>
    </row>
    <row r="41" spans="1:3" x14ac:dyDescent="0.2">
      <c r="A41" s="21" t="s">
        <v>31</v>
      </c>
      <c r="B41" s="25">
        <f>B12</f>
        <v>121000.00000000001</v>
      </c>
      <c r="C41" s="11" t="s">
        <v>37</v>
      </c>
    </row>
    <row r="42" spans="1:3" x14ac:dyDescent="0.2">
      <c r="A42" s="21" t="s">
        <v>32</v>
      </c>
      <c r="B42" s="22">
        <f>B13</f>
        <v>60</v>
      </c>
      <c r="C42" s="11" t="s">
        <v>55</v>
      </c>
    </row>
    <row r="43" spans="1:3" x14ac:dyDescent="0.2">
      <c r="A43" s="21" t="s">
        <v>33</v>
      </c>
      <c r="B43" s="22">
        <f>+(B40*B41)/B42</f>
        <v>1310.8333333333335</v>
      </c>
      <c r="C43" s="11" t="s">
        <v>131</v>
      </c>
    </row>
    <row r="45" spans="1:3" x14ac:dyDescent="0.2">
      <c r="A45" s="67" t="s">
        <v>74</v>
      </c>
      <c r="B45" s="22"/>
    </row>
    <row r="46" spans="1:3" x14ac:dyDescent="0.2">
      <c r="A46" s="21"/>
      <c r="B46" s="22"/>
    </row>
    <row r="47" spans="1:3" x14ac:dyDescent="0.2">
      <c r="A47" s="23" t="s">
        <v>75</v>
      </c>
      <c r="B47" s="30"/>
      <c r="C47" s="11" t="s">
        <v>131</v>
      </c>
    </row>
    <row r="48" spans="1:3" x14ac:dyDescent="0.2">
      <c r="A48" s="23" t="s">
        <v>76</v>
      </c>
      <c r="B48" s="22"/>
      <c r="C48" s="11" t="s">
        <v>131</v>
      </c>
    </row>
    <row r="49" spans="1:3" x14ac:dyDescent="0.2">
      <c r="A49" s="23" t="s">
        <v>77</v>
      </c>
      <c r="B49" s="22">
        <v>0</v>
      </c>
    </row>
    <row r="50" spans="1:3" x14ac:dyDescent="0.2">
      <c r="A50" s="23" t="s">
        <v>78</v>
      </c>
      <c r="B50" s="22">
        <f>5.3*2.5</f>
        <v>13.25</v>
      </c>
      <c r="C50" s="11" t="s">
        <v>131</v>
      </c>
    </row>
    <row r="51" spans="1:3" x14ac:dyDescent="0.2">
      <c r="A51" s="23" t="s">
        <v>461</v>
      </c>
      <c r="B51" s="22">
        <f>26*20</f>
        <v>520</v>
      </c>
      <c r="C51" s="11" t="s">
        <v>131</v>
      </c>
    </row>
    <row r="52" spans="1:3" x14ac:dyDescent="0.2">
      <c r="A52" s="23" t="s">
        <v>79</v>
      </c>
      <c r="B52" s="22"/>
      <c r="C52" s="11" t="s">
        <v>131</v>
      </c>
    </row>
    <row r="53" spans="1:3" x14ac:dyDescent="0.2">
      <c r="A53" s="23" t="s">
        <v>80</v>
      </c>
      <c r="B53" s="68">
        <f>+B47+B48+B49+B50+B51+B52</f>
        <v>533.25</v>
      </c>
      <c r="C53" s="11" t="s">
        <v>131</v>
      </c>
    </row>
    <row r="54" spans="1:3" x14ac:dyDescent="0.2">
      <c r="A54" s="23"/>
      <c r="B54" s="22"/>
    </row>
    <row r="55" spans="1:3" x14ac:dyDescent="0.2">
      <c r="A55" s="67" t="s">
        <v>81</v>
      </c>
      <c r="B55" s="22"/>
    </row>
    <row r="56" spans="1:3" x14ac:dyDescent="0.2">
      <c r="A56" s="23"/>
      <c r="B56" s="22"/>
    </row>
    <row r="57" spans="1:3" x14ac:dyDescent="0.2">
      <c r="A57" s="23" t="s">
        <v>153</v>
      </c>
      <c r="B57" s="22"/>
      <c r="C57" s="11" t="s">
        <v>131</v>
      </c>
    </row>
    <row r="58" spans="1:3" x14ac:dyDescent="0.2">
      <c r="A58" s="23" t="s">
        <v>152</v>
      </c>
      <c r="B58" s="22"/>
      <c r="C58" s="11" t="s">
        <v>131</v>
      </c>
    </row>
    <row r="59" spans="1:3" x14ac:dyDescent="0.2">
      <c r="A59" s="11" t="s">
        <v>82</v>
      </c>
      <c r="B59" s="35">
        <f>+B57+B58</f>
        <v>0</v>
      </c>
      <c r="C59" s="11" t="s">
        <v>131</v>
      </c>
    </row>
    <row r="61" spans="1:3" x14ac:dyDescent="0.2">
      <c r="A61" s="26" t="s">
        <v>83</v>
      </c>
      <c r="B61" s="27">
        <f>B59+B53+B43+B36+B29+B22+B16</f>
        <v>5913.1500000000005</v>
      </c>
      <c r="C61" s="31" t="s">
        <v>131</v>
      </c>
    </row>
  </sheetData>
  <mergeCells count="3">
    <mergeCell ref="A1:B1"/>
    <mergeCell ref="A2:B2"/>
    <mergeCell ref="A6:B6"/>
  </mergeCells>
  <pageMargins left="0.511811024" right="0.511811024" top="0.78740157499999996" bottom="0.78740157499999996" header="0.31496062000000002" footer="0.31496062000000002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63"/>
  <sheetViews>
    <sheetView view="pageBreakPreview" topLeftCell="A5" zoomScaleNormal="100" zoomScaleSheetLayoutView="100" workbookViewId="0">
      <selection activeCell="E27" sqref="E27"/>
    </sheetView>
  </sheetViews>
  <sheetFormatPr defaultColWidth="12" defaultRowHeight="12.75" x14ac:dyDescent="0.2"/>
  <cols>
    <col min="1" max="1" width="60.6640625" style="11" customWidth="1"/>
    <col min="2" max="2" width="18.6640625" style="11" customWidth="1"/>
    <col min="3" max="3" width="10.1640625" style="11" customWidth="1"/>
    <col min="4" max="4" width="12" style="11"/>
    <col min="5" max="5" width="16.33203125" style="11" customWidth="1"/>
    <col min="6" max="6" width="15.1640625" style="11" customWidth="1"/>
    <col min="7" max="7" width="14" style="11" customWidth="1"/>
    <col min="8" max="16384" width="12" style="11"/>
  </cols>
  <sheetData>
    <row r="1" spans="1:15" ht="18.75" hidden="1" x14ac:dyDescent="0.3">
      <c r="A1" s="338" t="s">
        <v>226</v>
      </c>
      <c r="B1" s="338"/>
      <c r="C1" s="237"/>
      <c r="D1" s="237"/>
      <c r="E1" s="237"/>
      <c r="F1" s="10"/>
    </row>
    <row r="2" spans="1:15" ht="18" hidden="1" customHeight="1" x14ac:dyDescent="0.25">
      <c r="A2" s="338"/>
      <c r="B2" s="338"/>
      <c r="C2" s="237"/>
      <c r="D2" s="237"/>
      <c r="E2" s="237"/>
      <c r="F2" s="12"/>
    </row>
    <row r="3" spans="1:15" hidden="1" x14ac:dyDescent="0.2">
      <c r="A3" s="13"/>
      <c r="B3" s="13"/>
      <c r="C3" s="13"/>
      <c r="D3" s="13"/>
      <c r="E3" s="13"/>
      <c r="F3" s="13"/>
    </row>
    <row r="4" spans="1:15" hidden="1" x14ac:dyDescent="0.2">
      <c r="A4" s="239" t="s">
        <v>228</v>
      </c>
      <c r="B4" s="239" t="s">
        <v>222</v>
      </c>
      <c r="C4" s="13"/>
      <c r="E4" s="13"/>
      <c r="F4" s="13"/>
    </row>
    <row r="5" spans="1:15" x14ac:dyDescent="0.2">
      <c r="A5" s="12"/>
      <c r="B5" s="13"/>
      <c r="C5" s="13"/>
      <c r="D5" s="13"/>
      <c r="E5" s="13"/>
    </row>
    <row r="6" spans="1:15" x14ac:dyDescent="0.2">
      <c r="A6" s="339" t="s">
        <v>0</v>
      </c>
      <c r="B6" s="339"/>
      <c r="C6" s="238"/>
      <c r="D6" s="238"/>
      <c r="E6" s="238"/>
    </row>
    <row r="7" spans="1:15" x14ac:dyDescent="0.2">
      <c r="A7" s="16"/>
      <c r="B7" s="16"/>
    </row>
    <row r="8" spans="1:15" ht="15" x14ac:dyDescent="0.2">
      <c r="A8" s="340" t="s">
        <v>338</v>
      </c>
      <c r="B8" s="340"/>
      <c r="E8" s="19"/>
    </row>
    <row r="10" spans="1:15" x14ac:dyDescent="0.2">
      <c r="A10" s="36" t="s">
        <v>15</v>
      </c>
    </row>
    <row r="12" spans="1:15" x14ac:dyDescent="0.2">
      <c r="A12" s="21" t="s">
        <v>154</v>
      </c>
      <c r="B12" s="22">
        <f>G14</f>
        <v>685976</v>
      </c>
      <c r="C12" s="11" t="s">
        <v>37</v>
      </c>
      <c r="E12" s="132" t="s">
        <v>668</v>
      </c>
      <c r="F12" s="132" t="s">
        <v>236</v>
      </c>
      <c r="G12" s="69">
        <v>458204</v>
      </c>
      <c r="I12" t="s">
        <v>547</v>
      </c>
      <c r="J12" t="s">
        <v>548</v>
      </c>
      <c r="K12" s="230" t="s">
        <v>549</v>
      </c>
      <c r="L12" t="s">
        <v>550</v>
      </c>
      <c r="M12" t="s">
        <v>551</v>
      </c>
    </row>
    <row r="13" spans="1:15" x14ac:dyDescent="0.2">
      <c r="A13" s="21" t="s">
        <v>16</v>
      </c>
      <c r="B13" s="22">
        <v>60</v>
      </c>
      <c r="C13" s="11" t="s">
        <v>55</v>
      </c>
      <c r="F13" s="11" t="s">
        <v>238</v>
      </c>
      <c r="G13" s="63">
        <f>210900*1.08</f>
        <v>227772.00000000003</v>
      </c>
      <c r="I13">
        <v>1</v>
      </c>
      <c r="J13" s="230">
        <f>$G$14</f>
        <v>685976</v>
      </c>
      <c r="K13" s="230">
        <f>SLN($G$14,$B$15,$G$15)</f>
        <v>109756.16</v>
      </c>
      <c r="L13" s="230">
        <f>K13</f>
        <v>109756.16</v>
      </c>
      <c r="M13" s="230">
        <f>J13-L13</f>
        <v>576219.84</v>
      </c>
      <c r="O13" s="63">
        <f>(G19/G14)*100</f>
        <v>0</v>
      </c>
    </row>
    <row r="14" spans="1:15" x14ac:dyDescent="0.2">
      <c r="A14" s="21" t="s">
        <v>17</v>
      </c>
      <c r="B14" s="64">
        <v>0.2</v>
      </c>
      <c r="G14" s="63">
        <f>G12+G13</f>
        <v>685976</v>
      </c>
      <c r="I14">
        <v>2</v>
      </c>
      <c r="J14" s="230">
        <f>$G$14</f>
        <v>685976</v>
      </c>
      <c r="K14" s="230">
        <f>SLN($G$14,$B$15,$G$15)</f>
        <v>109756.16</v>
      </c>
      <c r="L14" s="230">
        <f>K14+L13</f>
        <v>219512.32000000001</v>
      </c>
      <c r="M14" s="230">
        <f>J14-L14</f>
        <v>466463.68</v>
      </c>
      <c r="O14" s="63">
        <f>($G$19/M13)*100</f>
        <v>0</v>
      </c>
    </row>
    <row r="15" spans="1:15" x14ac:dyDescent="0.2">
      <c r="A15" s="21" t="s">
        <v>235</v>
      </c>
      <c r="B15" s="24">
        <f>G14*B14</f>
        <v>137195.20000000001</v>
      </c>
      <c r="G15" s="63">
        <v>5</v>
      </c>
      <c r="I15">
        <v>3</v>
      </c>
      <c r="J15" s="230">
        <f>$G$14</f>
        <v>685976</v>
      </c>
      <c r="K15" s="230">
        <f>SLN($G$14,$B$15,$G$15)</f>
        <v>109756.16</v>
      </c>
      <c r="L15" s="230">
        <f>K15+L14</f>
        <v>329268.47999999998</v>
      </c>
      <c r="M15" s="230">
        <f>J15-L15</f>
        <v>356707.52</v>
      </c>
      <c r="O15" s="63">
        <f>($G$19/M14)*100</f>
        <v>0</v>
      </c>
    </row>
    <row r="16" spans="1:15" x14ac:dyDescent="0.2">
      <c r="A16" s="11" t="s">
        <v>234</v>
      </c>
      <c r="B16" s="22"/>
      <c r="C16" s="11" t="s">
        <v>131</v>
      </c>
      <c r="G16" s="63">
        <f>G14/G12</f>
        <v>1.4970973627467241</v>
      </c>
      <c r="I16">
        <v>4</v>
      </c>
      <c r="J16" s="230">
        <f>$G$14</f>
        <v>685976</v>
      </c>
      <c r="K16" s="230">
        <f>SLN($G$14,$B$15,$G$15)</f>
        <v>109756.16</v>
      </c>
      <c r="L16" s="230">
        <f>K16+L15</f>
        <v>439024.64000000001</v>
      </c>
      <c r="M16" s="230">
        <f>J16-L16</f>
        <v>246951.36</v>
      </c>
      <c r="O16" s="63">
        <f>($G$19/M15)*100</f>
        <v>0</v>
      </c>
    </row>
    <row r="17" spans="1:15" x14ac:dyDescent="0.2">
      <c r="F17" s="11" t="s">
        <v>673</v>
      </c>
      <c r="G17" s="63">
        <f>218427*G16</f>
        <v>327006.4856526787</v>
      </c>
      <c r="I17">
        <v>5</v>
      </c>
      <c r="J17" s="230">
        <f>$G$14</f>
        <v>685976</v>
      </c>
      <c r="K17" s="230">
        <f>SLN($G$14,$B$15,$G$15)</f>
        <v>109756.16</v>
      </c>
      <c r="L17" s="230">
        <f>K17+L16</f>
        <v>548780.80000000005</v>
      </c>
      <c r="M17" s="230">
        <f>J17-L17</f>
        <v>137195.19999999995</v>
      </c>
      <c r="O17" s="63">
        <f>($G$19/M16)*100</f>
        <v>0</v>
      </c>
    </row>
    <row r="18" spans="1:15" x14ac:dyDescent="0.2">
      <c r="A18" s="20" t="s">
        <v>18</v>
      </c>
      <c r="G18" s="63"/>
      <c r="O18" s="63">
        <f>($G$19/M17)*100</f>
        <v>0</v>
      </c>
    </row>
    <row r="19" spans="1:15" x14ac:dyDescent="0.2">
      <c r="G19" s="63"/>
    </row>
    <row r="20" spans="1:15" x14ac:dyDescent="0.2">
      <c r="A20" s="65" t="s">
        <v>19</v>
      </c>
      <c r="B20" s="16">
        <f>+B12</f>
        <v>685976</v>
      </c>
      <c r="C20" s="11" t="s">
        <v>37</v>
      </c>
      <c r="G20" s="63"/>
    </row>
    <row r="21" spans="1:15" x14ac:dyDescent="0.2">
      <c r="A21" s="65" t="s">
        <v>566</v>
      </c>
      <c r="B21" s="232">
        <v>0.11749999999999999</v>
      </c>
    </row>
    <row r="22" spans="1:15" x14ac:dyDescent="0.2">
      <c r="A22" s="65" t="s">
        <v>21</v>
      </c>
      <c r="B22" s="16"/>
      <c r="C22" s="11" t="s">
        <v>131</v>
      </c>
    </row>
    <row r="23" spans="1:15" x14ac:dyDescent="0.2">
      <c r="A23" s="16" t="s">
        <v>8</v>
      </c>
      <c r="B23" s="16" t="s">
        <v>8</v>
      </c>
      <c r="G23" s="236"/>
    </row>
    <row r="24" spans="1:15" x14ac:dyDescent="0.2">
      <c r="A24" s="18" t="s">
        <v>22</v>
      </c>
      <c r="B24" s="16" t="s">
        <v>8</v>
      </c>
      <c r="G24" s="63"/>
    </row>
    <row r="26" spans="1:15" x14ac:dyDescent="0.2">
      <c r="A26" s="21" t="s">
        <v>23</v>
      </c>
      <c r="B26" s="22">
        <f>DADOS!D21</f>
        <v>6.5910000000000002</v>
      </c>
      <c r="C26" s="11" t="s">
        <v>213</v>
      </c>
    </row>
    <row r="27" spans="1:15" x14ac:dyDescent="0.2">
      <c r="A27" s="21" t="s">
        <v>602</v>
      </c>
      <c r="B27" s="22">
        <f>E27*26.08</f>
        <v>779.27039999999988</v>
      </c>
      <c r="C27" s="11" t="s">
        <v>215</v>
      </c>
      <c r="E27" s="11">
        <v>29.88</v>
      </c>
      <c r="I27" s="71"/>
    </row>
    <row r="28" spans="1:15" x14ac:dyDescent="0.2">
      <c r="A28" s="21" t="s">
        <v>24</v>
      </c>
      <c r="B28" s="22">
        <v>1.5</v>
      </c>
      <c r="C28" s="11" t="s">
        <v>214</v>
      </c>
    </row>
    <row r="29" spans="1:15" x14ac:dyDescent="0.2">
      <c r="A29" s="23" t="s">
        <v>25</v>
      </c>
      <c r="B29" s="22">
        <f>+(B27/B28)*B26</f>
        <v>3424.1141375999991</v>
      </c>
      <c r="C29" s="11" t="s">
        <v>131</v>
      </c>
      <c r="E29" s="25"/>
      <c r="G29" s="71"/>
    </row>
    <row r="30" spans="1:15" x14ac:dyDescent="0.2">
      <c r="A30" s="21"/>
      <c r="B30" s="22"/>
    </row>
    <row r="31" spans="1:15" x14ac:dyDescent="0.2">
      <c r="A31" s="18" t="s">
        <v>26</v>
      </c>
      <c r="B31" s="16" t="s">
        <v>8</v>
      </c>
    </row>
    <row r="33" spans="1:7" x14ac:dyDescent="0.2">
      <c r="A33" s="21" t="s">
        <v>94</v>
      </c>
      <c r="B33" s="22">
        <f>'BASCULANTE 6'!B33</f>
        <v>16739.400000000001</v>
      </c>
      <c r="C33" s="11" t="s">
        <v>37</v>
      </c>
    </row>
    <row r="34" spans="1:7" x14ac:dyDescent="0.2">
      <c r="A34" s="21" t="s">
        <v>27</v>
      </c>
      <c r="B34" s="22">
        <v>50000</v>
      </c>
      <c r="C34" s="11" t="s">
        <v>45</v>
      </c>
    </row>
    <row r="35" spans="1:7" x14ac:dyDescent="0.2">
      <c r="A35" s="21" t="s">
        <v>477</v>
      </c>
      <c r="B35" s="22">
        <f>B27</f>
        <v>779.27039999999988</v>
      </c>
      <c r="C35" s="11" t="s">
        <v>215</v>
      </c>
    </row>
    <row r="36" spans="1:7" x14ac:dyDescent="0.2">
      <c r="A36" s="21" t="s">
        <v>28</v>
      </c>
      <c r="B36" s="22">
        <f>+(B33*B35)/B34</f>
        <v>260.8903786752</v>
      </c>
      <c r="C36" s="11" t="s">
        <v>131</v>
      </c>
      <c r="E36" s="25"/>
      <c r="G36" s="22"/>
    </row>
    <row r="37" spans="1:7" x14ac:dyDescent="0.2">
      <c r="A37" s="21"/>
      <c r="B37" s="22"/>
    </row>
    <row r="38" spans="1:7" x14ac:dyDescent="0.2">
      <c r="A38" s="21" t="s">
        <v>29</v>
      </c>
    </row>
    <row r="39" spans="1:7" x14ac:dyDescent="0.2">
      <c r="A39" s="21" t="s">
        <v>7</v>
      </c>
    </row>
    <row r="40" spans="1:7" x14ac:dyDescent="0.2">
      <c r="A40" s="21" t="s">
        <v>30</v>
      </c>
      <c r="B40" s="64">
        <v>0.13</v>
      </c>
      <c r="E40" s="25"/>
    </row>
    <row r="41" spans="1:7" x14ac:dyDescent="0.2">
      <c r="A41" s="21" t="s">
        <v>582</v>
      </c>
      <c r="B41" s="25">
        <f>G14</f>
        <v>685976</v>
      </c>
      <c r="C41" s="11" t="s">
        <v>37</v>
      </c>
    </row>
    <row r="42" spans="1:7" x14ac:dyDescent="0.2">
      <c r="A42" s="21" t="s">
        <v>32</v>
      </c>
      <c r="B42" s="22">
        <v>12</v>
      </c>
      <c r="C42" s="11" t="s">
        <v>55</v>
      </c>
    </row>
    <row r="43" spans="1:7" x14ac:dyDescent="0.2">
      <c r="A43" s="21" t="s">
        <v>33</v>
      </c>
      <c r="B43" s="22">
        <f>+(B40*B41)/B42</f>
        <v>7431.4066666666668</v>
      </c>
      <c r="C43" s="11" t="s">
        <v>131</v>
      </c>
    </row>
    <row r="45" spans="1:7" x14ac:dyDescent="0.2">
      <c r="A45" s="23" t="s">
        <v>74</v>
      </c>
      <c r="B45" s="22"/>
    </row>
    <row r="46" spans="1:7" x14ac:dyDescent="0.2">
      <c r="A46" s="21"/>
      <c r="B46" s="22"/>
    </row>
    <row r="47" spans="1:7" x14ac:dyDescent="0.2">
      <c r="A47" s="23" t="s">
        <v>187</v>
      </c>
      <c r="B47" s="30">
        <f>'BASCULANTE 6'!B47</f>
        <v>62.22</v>
      </c>
      <c r="C47" s="11" t="s">
        <v>131</v>
      </c>
      <c r="G47" s="71"/>
    </row>
    <row r="48" spans="1:7" x14ac:dyDescent="0.2">
      <c r="A48" s="23" t="s">
        <v>76</v>
      </c>
      <c r="B48" s="22">
        <v>20.36</v>
      </c>
      <c r="C48" s="11" t="s">
        <v>131</v>
      </c>
    </row>
    <row r="49" spans="1:7" x14ac:dyDescent="0.2">
      <c r="A49" s="23" t="s">
        <v>77</v>
      </c>
      <c r="B49" s="22">
        <v>8.6</v>
      </c>
      <c r="C49" s="11" t="s">
        <v>131</v>
      </c>
    </row>
    <row r="50" spans="1:7" x14ac:dyDescent="0.2">
      <c r="A50" s="23" t="s">
        <v>78</v>
      </c>
      <c r="B50" s="22">
        <f>5.3*2.5</f>
        <v>13.25</v>
      </c>
      <c r="C50" s="11" t="s">
        <v>131</v>
      </c>
    </row>
    <row r="51" spans="1:7" x14ac:dyDescent="0.2">
      <c r="A51" s="23" t="s">
        <v>567</v>
      </c>
      <c r="B51" s="22">
        <f>10*20</f>
        <v>200</v>
      </c>
      <c r="C51" s="11" t="s">
        <v>131</v>
      </c>
    </row>
    <row r="52" spans="1:7" x14ac:dyDescent="0.2">
      <c r="A52" s="23" t="s">
        <v>79</v>
      </c>
      <c r="B52" s="22">
        <f>(+B47+B48+B49+B50)*15%</f>
        <v>15.664499999999999</v>
      </c>
      <c r="C52" s="11" t="s">
        <v>131</v>
      </c>
    </row>
    <row r="53" spans="1:7" x14ac:dyDescent="0.2">
      <c r="A53" s="23" t="s">
        <v>80</v>
      </c>
      <c r="B53" s="68">
        <f>+B47+B48+B49+B50+B52</f>
        <v>120.0945</v>
      </c>
      <c r="C53" s="11" t="s">
        <v>131</v>
      </c>
    </row>
    <row r="54" spans="1:7" x14ac:dyDescent="0.2">
      <c r="A54" s="23"/>
      <c r="B54" s="22"/>
      <c r="G54" s="71"/>
    </row>
    <row r="55" spans="1:7" x14ac:dyDescent="0.2">
      <c r="A55" s="23" t="s">
        <v>81</v>
      </c>
      <c r="B55" s="22"/>
    </row>
    <row r="56" spans="1:7" x14ac:dyDescent="0.2">
      <c r="A56" s="23"/>
      <c r="B56" s="22"/>
    </row>
    <row r="57" spans="1:7" x14ac:dyDescent="0.2">
      <c r="A57" s="23" t="s">
        <v>153</v>
      </c>
      <c r="B57" s="22">
        <f>'COMPACTADOR 15 m3'!B57</f>
        <v>817.51621413169676</v>
      </c>
      <c r="C57" s="11" t="s">
        <v>131</v>
      </c>
    </row>
    <row r="58" spans="1:7" x14ac:dyDescent="0.2">
      <c r="A58" s="23" t="s">
        <v>569</v>
      </c>
      <c r="B58" s="22">
        <f>(173.52+(+G12*1.5%))/12</f>
        <v>587.21500000000003</v>
      </c>
      <c r="C58" s="11" t="s">
        <v>131</v>
      </c>
    </row>
    <row r="59" spans="1:7" x14ac:dyDescent="0.2">
      <c r="A59" s="11" t="s">
        <v>82</v>
      </c>
      <c r="B59" s="35"/>
      <c r="C59" s="11" t="s">
        <v>131</v>
      </c>
    </row>
    <row r="61" spans="1:7" hidden="1" x14ac:dyDescent="0.2">
      <c r="A61" s="26" t="s">
        <v>83</v>
      </c>
      <c r="B61" s="27">
        <f>B59+B53+B43+B36+B29+B22+B16</f>
        <v>11236.505682941866</v>
      </c>
      <c r="C61" s="31" t="s">
        <v>131</v>
      </c>
    </row>
    <row r="62" spans="1:7" hidden="1" x14ac:dyDescent="0.2"/>
    <row r="63" spans="1:7" x14ac:dyDescent="0.2">
      <c r="A63" s="26" t="s">
        <v>583</v>
      </c>
      <c r="B63" s="209">
        <f>(B29+B36+B53)-B51</f>
        <v>3605.0990162751991</v>
      </c>
      <c r="C63" s="26" t="s">
        <v>131</v>
      </c>
    </row>
  </sheetData>
  <mergeCells count="4">
    <mergeCell ref="A1:B1"/>
    <mergeCell ref="A2:B2"/>
    <mergeCell ref="A6:B6"/>
    <mergeCell ref="A8:B8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63"/>
  <sheetViews>
    <sheetView view="pageBreakPreview" topLeftCell="A38" zoomScaleNormal="100" zoomScaleSheetLayoutView="100" workbookViewId="0">
      <selection activeCell="B27" sqref="B27"/>
    </sheetView>
  </sheetViews>
  <sheetFormatPr defaultColWidth="12" defaultRowHeight="12.75" x14ac:dyDescent="0.2"/>
  <cols>
    <col min="1" max="1" width="60.6640625" style="11" customWidth="1"/>
    <col min="2" max="2" width="18.6640625" style="11" customWidth="1"/>
    <col min="3" max="3" width="10.1640625" style="11" customWidth="1"/>
    <col min="4" max="4" width="12" style="11"/>
    <col min="5" max="5" width="16.33203125" style="11" customWidth="1"/>
    <col min="6" max="6" width="15.1640625" style="11" customWidth="1"/>
    <col min="7" max="7" width="14" style="11" customWidth="1"/>
    <col min="8" max="16384" width="12" style="11"/>
  </cols>
  <sheetData>
    <row r="1" spans="1:15" ht="18.75" hidden="1" x14ac:dyDescent="0.3">
      <c r="A1" s="338" t="s">
        <v>226</v>
      </c>
      <c r="B1" s="338"/>
      <c r="C1" s="290"/>
      <c r="D1" s="290"/>
      <c r="E1" s="290"/>
      <c r="F1" s="10"/>
    </row>
    <row r="2" spans="1:15" ht="18" hidden="1" customHeight="1" x14ac:dyDescent="0.25">
      <c r="A2" s="338"/>
      <c r="B2" s="338"/>
      <c r="C2" s="290"/>
      <c r="D2" s="290"/>
      <c r="E2" s="290"/>
      <c r="F2" s="12"/>
    </row>
    <row r="3" spans="1:15" hidden="1" x14ac:dyDescent="0.2">
      <c r="A3" s="13"/>
      <c r="B3" s="13"/>
      <c r="C3" s="13"/>
      <c r="D3" s="13"/>
      <c r="E3" s="13"/>
      <c r="F3" s="13"/>
    </row>
    <row r="4" spans="1:15" hidden="1" x14ac:dyDescent="0.2">
      <c r="A4" s="292" t="s">
        <v>228</v>
      </c>
      <c r="B4" s="292" t="s">
        <v>222</v>
      </c>
      <c r="C4" s="13"/>
      <c r="E4" s="13"/>
      <c r="F4" s="13"/>
    </row>
    <row r="5" spans="1:15" x14ac:dyDescent="0.2">
      <c r="A5" s="12"/>
      <c r="B5" s="13"/>
      <c r="C5" s="13"/>
      <c r="D5" s="13"/>
      <c r="E5" s="13"/>
    </row>
    <row r="6" spans="1:15" x14ac:dyDescent="0.2">
      <c r="A6" s="339" t="s">
        <v>0</v>
      </c>
      <c r="B6" s="339"/>
      <c r="C6" s="291"/>
      <c r="D6" s="291"/>
      <c r="E6" s="291"/>
    </row>
    <row r="7" spans="1:15" x14ac:dyDescent="0.2">
      <c r="A7" s="16"/>
      <c r="B7" s="16"/>
    </row>
    <row r="8" spans="1:15" ht="15" x14ac:dyDescent="0.2">
      <c r="A8" s="340" t="s">
        <v>338</v>
      </c>
      <c r="B8" s="340"/>
      <c r="E8" s="19"/>
    </row>
    <row r="10" spans="1:15" x14ac:dyDescent="0.2">
      <c r="A10" s="36" t="s">
        <v>15</v>
      </c>
    </row>
    <row r="12" spans="1:15" x14ac:dyDescent="0.2">
      <c r="A12" s="21" t="s">
        <v>154</v>
      </c>
      <c r="B12" s="22">
        <f>G14</f>
        <v>685976</v>
      </c>
      <c r="C12" s="11" t="s">
        <v>37</v>
      </c>
      <c r="E12" s="132" t="s">
        <v>668</v>
      </c>
      <c r="F12" s="132" t="s">
        <v>236</v>
      </c>
      <c r="G12" s="69">
        <v>458204</v>
      </c>
      <c r="I12" t="s">
        <v>547</v>
      </c>
      <c r="J12" t="s">
        <v>548</v>
      </c>
      <c r="K12" s="230" t="s">
        <v>549</v>
      </c>
      <c r="L12" t="s">
        <v>550</v>
      </c>
      <c r="M12" t="s">
        <v>551</v>
      </c>
    </row>
    <row r="13" spans="1:15" x14ac:dyDescent="0.2">
      <c r="A13" s="21" t="s">
        <v>16</v>
      </c>
      <c r="B13" s="22">
        <v>60</v>
      </c>
      <c r="C13" s="11" t="s">
        <v>55</v>
      </c>
      <c r="F13" s="11" t="s">
        <v>238</v>
      </c>
      <c r="G13" s="63">
        <f>210900*1.08</f>
        <v>227772.00000000003</v>
      </c>
      <c r="I13">
        <v>1</v>
      </c>
      <c r="J13" s="230">
        <f>$G$14</f>
        <v>685976</v>
      </c>
      <c r="K13" s="230">
        <f>SLN($G$14,$B$15,$G$15)</f>
        <v>109756.16</v>
      </c>
      <c r="L13" s="230">
        <f>K13</f>
        <v>109756.16</v>
      </c>
      <c r="M13" s="230">
        <f>J13-L13</f>
        <v>576219.84</v>
      </c>
      <c r="O13" s="63">
        <f>(G19/G14)*100</f>
        <v>0</v>
      </c>
    </row>
    <row r="14" spans="1:15" x14ac:dyDescent="0.2">
      <c r="A14" s="21" t="s">
        <v>17</v>
      </c>
      <c r="B14" s="64">
        <v>0.2</v>
      </c>
      <c r="G14" s="63">
        <f>G12+G13</f>
        <v>685976</v>
      </c>
      <c r="I14">
        <v>2</v>
      </c>
      <c r="J14" s="230">
        <f>$G$14</f>
        <v>685976</v>
      </c>
      <c r="K14" s="230">
        <f>SLN($G$14,$B$15,$G$15)</f>
        <v>109756.16</v>
      </c>
      <c r="L14" s="230">
        <f>K14+L13</f>
        <v>219512.32000000001</v>
      </c>
      <c r="M14" s="230">
        <f>J14-L14</f>
        <v>466463.68</v>
      </c>
      <c r="O14" s="63">
        <f>($G$19/M13)*100</f>
        <v>0</v>
      </c>
    </row>
    <row r="15" spans="1:15" x14ac:dyDescent="0.2">
      <c r="A15" s="21" t="s">
        <v>235</v>
      </c>
      <c r="B15" s="24">
        <f>G14*B14</f>
        <v>137195.20000000001</v>
      </c>
      <c r="G15" s="63">
        <v>5</v>
      </c>
      <c r="I15">
        <v>3</v>
      </c>
      <c r="J15" s="230">
        <f>$G$14</f>
        <v>685976</v>
      </c>
      <c r="K15" s="230">
        <f>SLN($G$14,$B$15,$G$15)</f>
        <v>109756.16</v>
      </c>
      <c r="L15" s="230">
        <f>K15+L14</f>
        <v>329268.47999999998</v>
      </c>
      <c r="M15" s="230">
        <f>J15-L15</f>
        <v>356707.52</v>
      </c>
      <c r="O15" s="63">
        <f>($G$19/M14)*100</f>
        <v>0</v>
      </c>
    </row>
    <row r="16" spans="1:15" x14ac:dyDescent="0.2">
      <c r="A16" s="11" t="s">
        <v>234</v>
      </c>
      <c r="B16" s="22">
        <f>(B12-B15)/B13</f>
        <v>9146.3466666666682</v>
      </c>
      <c r="C16" s="11" t="s">
        <v>131</v>
      </c>
      <c r="G16" s="63">
        <f>G14/G12</f>
        <v>1.4970973627467241</v>
      </c>
      <c r="I16">
        <v>4</v>
      </c>
      <c r="J16" s="230">
        <f>$G$14</f>
        <v>685976</v>
      </c>
      <c r="K16" s="230">
        <f>SLN($G$14,$B$15,$G$15)</f>
        <v>109756.16</v>
      </c>
      <c r="L16" s="230">
        <f>K16+L15</f>
        <v>439024.64000000001</v>
      </c>
      <c r="M16" s="230">
        <f>J16-L16</f>
        <v>246951.36</v>
      </c>
      <c r="O16" s="63">
        <f>($G$19/M15)*100</f>
        <v>0</v>
      </c>
    </row>
    <row r="17" spans="1:15" x14ac:dyDescent="0.2">
      <c r="F17" s="11" t="s">
        <v>673</v>
      </c>
      <c r="G17" s="63">
        <f>218427*G16</f>
        <v>327006.4856526787</v>
      </c>
      <c r="I17">
        <v>5</v>
      </c>
      <c r="J17" s="230">
        <f>$G$14</f>
        <v>685976</v>
      </c>
      <c r="K17" s="230">
        <f>SLN($G$14,$B$15,$G$15)</f>
        <v>109756.16</v>
      </c>
      <c r="L17" s="230">
        <f>K17+L16</f>
        <v>548780.80000000005</v>
      </c>
      <c r="M17" s="230">
        <f>J17-L17</f>
        <v>137195.19999999995</v>
      </c>
      <c r="O17" s="63">
        <f>($G$19/M16)*100</f>
        <v>0</v>
      </c>
    </row>
    <row r="18" spans="1:15" x14ac:dyDescent="0.2">
      <c r="A18" s="20" t="s">
        <v>18</v>
      </c>
      <c r="G18" s="63"/>
      <c r="O18" s="63">
        <f>($G$19/M17)*100</f>
        <v>0</v>
      </c>
    </row>
    <row r="19" spans="1:15" x14ac:dyDescent="0.2">
      <c r="G19" s="63"/>
    </row>
    <row r="20" spans="1:15" x14ac:dyDescent="0.2">
      <c r="A20" s="65" t="s">
        <v>19</v>
      </c>
      <c r="B20" s="16">
        <f>+B12</f>
        <v>685976</v>
      </c>
      <c r="C20" s="11" t="s">
        <v>37</v>
      </c>
      <c r="E20" s="71"/>
      <c r="G20" s="63"/>
    </row>
    <row r="21" spans="1:15" x14ac:dyDescent="0.2">
      <c r="A21" s="65" t="s">
        <v>566</v>
      </c>
      <c r="B21" s="232">
        <v>0.11749999999999999</v>
      </c>
    </row>
    <row r="22" spans="1:15" x14ac:dyDescent="0.2">
      <c r="A22" s="65" t="s">
        <v>21</v>
      </c>
      <c r="B22" s="16">
        <f>((B12-B15)*B21)/12</f>
        <v>5373.4786666666669</v>
      </c>
      <c r="C22" s="11" t="s">
        <v>131</v>
      </c>
      <c r="G22" s="63"/>
    </row>
    <row r="23" spans="1:15" x14ac:dyDescent="0.2">
      <c r="A23" s="16" t="s">
        <v>8</v>
      </c>
      <c r="B23" s="16" t="s">
        <v>8</v>
      </c>
      <c r="G23" s="236"/>
    </row>
    <row r="24" spans="1:15" x14ac:dyDescent="0.2">
      <c r="A24" s="18" t="s">
        <v>22</v>
      </c>
      <c r="B24" s="16" t="s">
        <v>8</v>
      </c>
      <c r="G24" s="63"/>
    </row>
    <row r="26" spans="1:15" x14ac:dyDescent="0.2">
      <c r="A26" s="21" t="s">
        <v>23</v>
      </c>
      <c r="B26" s="22">
        <f>DADOS!D21</f>
        <v>6.5910000000000002</v>
      </c>
      <c r="C26" s="11" t="s">
        <v>213</v>
      </c>
    </row>
    <row r="27" spans="1:15" x14ac:dyDescent="0.2">
      <c r="A27" s="21" t="s">
        <v>601</v>
      </c>
      <c r="B27" s="22">
        <f>(E27*26.08)/2</f>
        <v>571.41279999999995</v>
      </c>
      <c r="C27" s="11" t="s">
        <v>215</v>
      </c>
      <c r="E27" s="11">
        <v>43.82</v>
      </c>
      <c r="I27" s="71"/>
      <c r="K27" s="63">
        <v>6720.5</v>
      </c>
    </row>
    <row r="28" spans="1:15" x14ac:dyDescent="0.2">
      <c r="A28" s="21" t="s">
        <v>24</v>
      </c>
      <c r="B28" s="22">
        <v>1.5</v>
      </c>
      <c r="C28" s="11" t="s">
        <v>214</v>
      </c>
      <c r="K28" s="63">
        <v>557.89</v>
      </c>
      <c r="L28" s="63">
        <f>SUM(K27:K28)</f>
        <v>7278.39</v>
      </c>
      <c r="M28" s="11">
        <f>L28/7</f>
        <v>1039.77</v>
      </c>
    </row>
    <row r="29" spans="1:15" x14ac:dyDescent="0.2">
      <c r="A29" s="23" t="s">
        <v>25</v>
      </c>
      <c r="B29" s="22">
        <f>+(B27/B28)*B26</f>
        <v>2510.7878431999998</v>
      </c>
      <c r="C29" s="11" t="s">
        <v>131</v>
      </c>
      <c r="E29" s="25"/>
      <c r="G29" s="71"/>
      <c r="K29" s="63">
        <v>2240.17</v>
      </c>
    </row>
    <row r="30" spans="1:15" x14ac:dyDescent="0.2">
      <c r="A30" s="21"/>
      <c r="B30" s="22"/>
      <c r="K30" s="63"/>
    </row>
    <row r="31" spans="1:15" x14ac:dyDescent="0.2">
      <c r="A31" s="18" t="s">
        <v>26</v>
      </c>
      <c r="B31" s="16" t="s">
        <v>8</v>
      </c>
      <c r="K31" s="63"/>
    </row>
    <row r="32" spans="1:15" x14ac:dyDescent="0.2">
      <c r="K32" s="63">
        <f>K29/2</f>
        <v>1120.085</v>
      </c>
    </row>
    <row r="33" spans="1:7" x14ac:dyDescent="0.2">
      <c r="A33" s="21" t="s">
        <v>94</v>
      </c>
      <c r="B33" s="22">
        <f>'BASCULANTE 6'!B33</f>
        <v>16739.400000000001</v>
      </c>
      <c r="C33" s="11" t="s">
        <v>37</v>
      </c>
    </row>
    <row r="34" spans="1:7" x14ac:dyDescent="0.2">
      <c r="A34" s="21" t="s">
        <v>27</v>
      </c>
      <c r="B34" s="22">
        <v>50000</v>
      </c>
      <c r="C34" s="11" t="s">
        <v>45</v>
      </c>
    </row>
    <row r="35" spans="1:7" x14ac:dyDescent="0.2">
      <c r="A35" s="21" t="s">
        <v>477</v>
      </c>
      <c r="B35" s="22">
        <f>B27</f>
        <v>571.41279999999995</v>
      </c>
      <c r="C35" s="11" t="s">
        <v>215</v>
      </c>
    </row>
    <row r="36" spans="1:7" x14ac:dyDescent="0.2">
      <c r="A36" s="21" t="s">
        <v>28</v>
      </c>
      <c r="B36" s="22">
        <f>+(B33*B35)/B34</f>
        <v>191.30214848639997</v>
      </c>
      <c r="C36" s="11" t="s">
        <v>131</v>
      </c>
      <c r="E36" s="25"/>
      <c r="G36" s="22"/>
    </row>
    <row r="37" spans="1:7" x14ac:dyDescent="0.2">
      <c r="A37" s="21"/>
      <c r="B37" s="22"/>
    </row>
    <row r="38" spans="1:7" x14ac:dyDescent="0.2">
      <c r="A38" s="21" t="s">
        <v>29</v>
      </c>
    </row>
    <row r="39" spans="1:7" x14ac:dyDescent="0.2">
      <c r="A39" s="21" t="s">
        <v>7</v>
      </c>
    </row>
    <row r="40" spans="1:7" x14ac:dyDescent="0.2">
      <c r="A40" s="21" t="s">
        <v>30</v>
      </c>
      <c r="B40" s="64">
        <v>0.13</v>
      </c>
      <c r="E40" s="25"/>
    </row>
    <row r="41" spans="1:7" x14ac:dyDescent="0.2">
      <c r="A41" s="21" t="s">
        <v>582</v>
      </c>
      <c r="B41" s="25">
        <f>G14</f>
        <v>685976</v>
      </c>
      <c r="C41" s="11" t="s">
        <v>37</v>
      </c>
    </row>
    <row r="42" spans="1:7" x14ac:dyDescent="0.2">
      <c r="A42" s="21" t="s">
        <v>32</v>
      </c>
      <c r="B42" s="22">
        <v>12</v>
      </c>
      <c r="C42" s="11" t="s">
        <v>55</v>
      </c>
    </row>
    <row r="43" spans="1:7" x14ac:dyDescent="0.2">
      <c r="A43" s="21" t="s">
        <v>33</v>
      </c>
      <c r="B43" s="22">
        <f>+(B40*B41)/B42</f>
        <v>7431.4066666666668</v>
      </c>
      <c r="C43" s="11" t="s">
        <v>131</v>
      </c>
    </row>
    <row r="45" spans="1:7" x14ac:dyDescent="0.2">
      <c r="A45" s="23" t="s">
        <v>74</v>
      </c>
      <c r="B45" s="22"/>
    </row>
    <row r="46" spans="1:7" x14ac:dyDescent="0.2">
      <c r="A46" s="21"/>
      <c r="B46" s="22"/>
    </row>
    <row r="47" spans="1:7" x14ac:dyDescent="0.2">
      <c r="A47" s="23" t="s">
        <v>187</v>
      </c>
      <c r="B47" s="30">
        <f>'BASCULANTE 6'!B47</f>
        <v>62.22</v>
      </c>
      <c r="C47" s="11" t="s">
        <v>131</v>
      </c>
      <c r="G47" s="71"/>
    </row>
    <row r="48" spans="1:7" x14ac:dyDescent="0.2">
      <c r="A48" s="23" t="s">
        <v>76</v>
      </c>
      <c r="B48" s="22">
        <v>20.36</v>
      </c>
      <c r="C48" s="11" t="s">
        <v>131</v>
      </c>
    </row>
    <row r="49" spans="1:7" x14ac:dyDescent="0.2">
      <c r="A49" s="23" t="s">
        <v>77</v>
      </c>
      <c r="B49" s="22">
        <v>8.6</v>
      </c>
      <c r="C49" s="11" t="s">
        <v>131</v>
      </c>
    </row>
    <row r="50" spans="1:7" x14ac:dyDescent="0.2">
      <c r="A50" s="23" t="s">
        <v>78</v>
      </c>
      <c r="B50" s="22">
        <f>5.3*2.5</f>
        <v>13.25</v>
      </c>
      <c r="C50" s="11" t="s">
        <v>131</v>
      </c>
    </row>
    <row r="51" spans="1:7" x14ac:dyDescent="0.2">
      <c r="A51" s="23" t="s">
        <v>567</v>
      </c>
      <c r="B51" s="22">
        <f>10*20</f>
        <v>200</v>
      </c>
      <c r="C51" s="11" t="s">
        <v>131</v>
      </c>
    </row>
    <row r="52" spans="1:7" x14ac:dyDescent="0.2">
      <c r="A52" s="23" t="s">
        <v>79</v>
      </c>
      <c r="B52" s="22">
        <f>(+B47+B48+B49+B50)*15%</f>
        <v>15.664499999999999</v>
      </c>
      <c r="C52" s="11" t="s">
        <v>131</v>
      </c>
    </row>
    <row r="53" spans="1:7" x14ac:dyDescent="0.2">
      <c r="A53" s="23" t="s">
        <v>80</v>
      </c>
      <c r="B53" s="68">
        <f>+B47+B48+B49+B50+B51+B52</f>
        <v>320.09449999999998</v>
      </c>
      <c r="C53" s="11" t="s">
        <v>131</v>
      </c>
    </row>
    <row r="54" spans="1:7" x14ac:dyDescent="0.2">
      <c r="A54" s="23"/>
      <c r="B54" s="22"/>
      <c r="G54" s="71"/>
    </row>
    <row r="55" spans="1:7" x14ac:dyDescent="0.2">
      <c r="A55" s="23" t="s">
        <v>81</v>
      </c>
      <c r="B55" s="22"/>
    </row>
    <row r="56" spans="1:7" x14ac:dyDescent="0.2">
      <c r="A56" s="23"/>
      <c r="B56" s="22"/>
    </row>
    <row r="57" spans="1:7" x14ac:dyDescent="0.2">
      <c r="A57" s="23" t="s">
        <v>153</v>
      </c>
      <c r="B57" s="22">
        <f>(+G17*3%)/12</f>
        <v>817.51621413169676</v>
      </c>
      <c r="C57" s="11" t="s">
        <v>131</v>
      </c>
    </row>
    <row r="58" spans="1:7" x14ac:dyDescent="0.2">
      <c r="A58" s="23" t="s">
        <v>569</v>
      </c>
      <c r="B58" s="22">
        <f>(173.52+(+G12*1.5%))/12</f>
        <v>587.21500000000003</v>
      </c>
      <c r="C58" s="11" t="s">
        <v>131</v>
      </c>
    </row>
    <row r="59" spans="1:7" x14ac:dyDescent="0.2">
      <c r="A59" s="11" t="s">
        <v>82</v>
      </c>
      <c r="B59" s="35">
        <f>+B57+B58</f>
        <v>1404.7312141316968</v>
      </c>
      <c r="C59" s="11" t="s">
        <v>131</v>
      </c>
    </row>
    <row r="61" spans="1:7" x14ac:dyDescent="0.2">
      <c r="A61" s="26" t="s">
        <v>83</v>
      </c>
      <c r="B61" s="27">
        <f>B59+B53+B43+B36+B29+B22+B16</f>
        <v>26378.147705818097</v>
      </c>
      <c r="C61" s="31" t="s">
        <v>131</v>
      </c>
    </row>
    <row r="63" spans="1:7" hidden="1" x14ac:dyDescent="0.2">
      <c r="A63" s="26" t="s">
        <v>439</v>
      </c>
      <c r="B63" s="209">
        <f>(B29+B36+B53)-B51</f>
        <v>2822.1844916863997</v>
      </c>
      <c r="C63" s="26" t="s">
        <v>131</v>
      </c>
    </row>
  </sheetData>
  <mergeCells count="4">
    <mergeCell ref="A1:B1"/>
    <mergeCell ref="A2:B2"/>
    <mergeCell ref="A6:B6"/>
    <mergeCell ref="A8:B8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65"/>
  <sheetViews>
    <sheetView view="pageBreakPreview" topLeftCell="A35" zoomScaleNormal="100" zoomScaleSheetLayoutView="100" workbookViewId="0">
      <selection activeCell="G29" sqref="G29"/>
    </sheetView>
  </sheetViews>
  <sheetFormatPr defaultColWidth="12" defaultRowHeight="12.75" x14ac:dyDescent="0.2"/>
  <cols>
    <col min="1" max="1" width="60.6640625" style="11" customWidth="1"/>
    <col min="2" max="2" width="18.6640625" style="11" customWidth="1"/>
    <col min="3" max="3" width="10.1640625" style="11" customWidth="1"/>
    <col min="4" max="4" width="12" style="11"/>
    <col min="5" max="5" width="16.33203125" style="11" customWidth="1"/>
    <col min="6" max="6" width="15.1640625" style="11" customWidth="1"/>
    <col min="7" max="7" width="14" style="11" customWidth="1"/>
    <col min="8" max="16384" width="12" style="11"/>
  </cols>
  <sheetData>
    <row r="1" spans="1:15" ht="18.75" hidden="1" x14ac:dyDescent="0.3">
      <c r="A1" s="338" t="s">
        <v>226</v>
      </c>
      <c r="B1" s="338"/>
      <c r="C1" s="293"/>
      <c r="D1" s="293"/>
      <c r="E1" s="293"/>
      <c r="F1" s="10"/>
    </row>
    <row r="2" spans="1:15" ht="18" hidden="1" customHeight="1" x14ac:dyDescent="0.25">
      <c r="A2" s="338"/>
      <c r="B2" s="338"/>
      <c r="C2" s="293"/>
      <c r="D2" s="293"/>
      <c r="E2" s="293"/>
      <c r="F2" s="12"/>
    </row>
    <row r="3" spans="1:15" hidden="1" x14ac:dyDescent="0.2">
      <c r="A3" s="13"/>
      <c r="B3" s="13"/>
      <c r="C3" s="13"/>
      <c r="D3" s="13"/>
      <c r="E3" s="13"/>
      <c r="F3" s="13"/>
    </row>
    <row r="4" spans="1:15" hidden="1" x14ac:dyDescent="0.2">
      <c r="A4" s="295" t="s">
        <v>228</v>
      </c>
      <c r="B4" s="295" t="s">
        <v>222</v>
      </c>
      <c r="C4" s="13"/>
      <c r="E4" s="13"/>
      <c r="F4" s="13"/>
    </row>
    <row r="5" spans="1:15" x14ac:dyDescent="0.2">
      <c r="A5" s="12"/>
      <c r="B5" s="13"/>
      <c r="C5" s="13"/>
      <c r="D5" s="13"/>
      <c r="E5" s="13"/>
    </row>
    <row r="6" spans="1:15" x14ac:dyDescent="0.2">
      <c r="A6" s="339" t="s">
        <v>0</v>
      </c>
      <c r="B6" s="339"/>
      <c r="C6" s="294"/>
      <c r="D6" s="294"/>
      <c r="E6" s="294"/>
    </row>
    <row r="7" spans="1:15" x14ac:dyDescent="0.2">
      <c r="A7" s="16"/>
      <c r="B7" s="16"/>
    </row>
    <row r="8" spans="1:15" x14ac:dyDescent="0.2">
      <c r="A8" s="340" t="s">
        <v>661</v>
      </c>
      <c r="B8" s="340"/>
      <c r="E8" s="19"/>
    </row>
    <row r="10" spans="1:15" x14ac:dyDescent="0.2">
      <c r="A10" s="36" t="s">
        <v>15</v>
      </c>
    </row>
    <row r="12" spans="1:15" x14ac:dyDescent="0.2">
      <c r="A12" s="21" t="s">
        <v>154</v>
      </c>
      <c r="B12" s="22">
        <f>G14</f>
        <v>685976</v>
      </c>
      <c r="C12" s="11" t="s">
        <v>37</v>
      </c>
      <c r="E12" s="132" t="s">
        <v>668</v>
      </c>
      <c r="F12" s="132" t="s">
        <v>236</v>
      </c>
      <c r="G12" s="69">
        <v>458204</v>
      </c>
      <c r="I12" t="s">
        <v>547</v>
      </c>
      <c r="J12" t="s">
        <v>548</v>
      </c>
      <c r="K12" s="230" t="s">
        <v>549</v>
      </c>
      <c r="L12" t="s">
        <v>550</v>
      </c>
      <c r="M12" t="s">
        <v>551</v>
      </c>
    </row>
    <row r="13" spans="1:15" x14ac:dyDescent="0.2">
      <c r="A13" s="21" t="s">
        <v>16</v>
      </c>
      <c r="B13" s="22">
        <v>60</v>
      </c>
      <c r="C13" s="11" t="s">
        <v>55</v>
      </c>
      <c r="F13" s="11" t="s">
        <v>238</v>
      </c>
      <c r="G13" s="63">
        <f>210900*1.08</f>
        <v>227772.00000000003</v>
      </c>
      <c r="I13">
        <v>1</v>
      </c>
      <c r="J13" s="230">
        <f>$G$14</f>
        <v>685976</v>
      </c>
      <c r="K13" s="230">
        <f>SLN($G$14,$B$15,$G$15)</f>
        <v>109756.16</v>
      </c>
      <c r="L13" s="230">
        <f>K13</f>
        <v>109756.16</v>
      </c>
      <c r="M13" s="230">
        <f>J13-L13</f>
        <v>576219.84</v>
      </c>
      <c r="O13" s="63">
        <f>(G19/G14)*100</f>
        <v>0</v>
      </c>
    </row>
    <row r="14" spans="1:15" x14ac:dyDescent="0.2">
      <c r="A14" s="21" t="s">
        <v>17</v>
      </c>
      <c r="B14" s="64">
        <v>0.2</v>
      </c>
      <c r="G14" s="63">
        <f>G12+G13</f>
        <v>685976</v>
      </c>
      <c r="I14">
        <v>2</v>
      </c>
      <c r="J14" s="230">
        <f>$G$14</f>
        <v>685976</v>
      </c>
      <c r="K14" s="230">
        <f>SLN($G$14,$B$15,$G$15)</f>
        <v>109756.16</v>
      </c>
      <c r="L14" s="230">
        <f>K14+L13</f>
        <v>219512.32000000001</v>
      </c>
      <c r="M14" s="230">
        <f>J14-L14</f>
        <v>466463.68</v>
      </c>
      <c r="O14" s="63">
        <f>($G$19/M13)*100</f>
        <v>0</v>
      </c>
    </row>
    <row r="15" spans="1:15" x14ac:dyDescent="0.2">
      <c r="A15" s="21" t="s">
        <v>235</v>
      </c>
      <c r="B15" s="24">
        <f>G14*B14</f>
        <v>137195.20000000001</v>
      </c>
      <c r="G15" s="63">
        <v>5</v>
      </c>
      <c r="I15">
        <v>3</v>
      </c>
      <c r="J15" s="230">
        <f>$G$14</f>
        <v>685976</v>
      </c>
      <c r="K15" s="230">
        <f>SLN($G$14,$B$15,$G$15)</f>
        <v>109756.16</v>
      </c>
      <c r="L15" s="230">
        <f>K15+L14</f>
        <v>329268.47999999998</v>
      </c>
      <c r="M15" s="230">
        <f>J15-L15</f>
        <v>356707.52</v>
      </c>
      <c r="O15" s="63">
        <f>($G$19/M14)*100</f>
        <v>0</v>
      </c>
    </row>
    <row r="16" spans="1:15" x14ac:dyDescent="0.2">
      <c r="A16" s="11" t="s">
        <v>234</v>
      </c>
      <c r="B16" s="22">
        <f>(B12-B15)/B13</f>
        <v>9146.3466666666682</v>
      </c>
      <c r="C16" s="11" t="s">
        <v>131</v>
      </c>
      <c r="G16" s="63">
        <f>G14/G12</f>
        <v>1.4970973627467241</v>
      </c>
      <c r="I16">
        <v>4</v>
      </c>
      <c r="J16" s="230">
        <f>$G$14</f>
        <v>685976</v>
      </c>
      <c r="K16" s="230">
        <f>SLN($G$14,$B$15,$G$15)</f>
        <v>109756.16</v>
      </c>
      <c r="L16" s="230">
        <f>K16+L15</f>
        <v>439024.64000000001</v>
      </c>
      <c r="M16" s="230">
        <f>J16-L16</f>
        <v>246951.36</v>
      </c>
      <c r="O16" s="63">
        <f>($G$19/M15)*100</f>
        <v>0</v>
      </c>
    </row>
    <row r="17" spans="1:15" x14ac:dyDescent="0.2">
      <c r="F17" s="11" t="s">
        <v>673</v>
      </c>
      <c r="G17" s="63">
        <f>218427*G16</f>
        <v>327006.4856526787</v>
      </c>
      <c r="I17">
        <v>5</v>
      </c>
      <c r="J17" s="230">
        <f>$G$14</f>
        <v>685976</v>
      </c>
      <c r="K17" s="230">
        <f>SLN($G$14,$B$15,$G$15)</f>
        <v>109756.16</v>
      </c>
      <c r="L17" s="230">
        <f>K17+L16</f>
        <v>548780.80000000005</v>
      </c>
      <c r="M17" s="230">
        <f>J17-L17</f>
        <v>137195.19999999995</v>
      </c>
      <c r="O17" s="63">
        <f>($G$19/M16)*100</f>
        <v>0</v>
      </c>
    </row>
    <row r="18" spans="1:15" x14ac:dyDescent="0.2">
      <c r="A18" s="20" t="s">
        <v>18</v>
      </c>
      <c r="G18" s="63"/>
      <c r="O18" s="63">
        <f>($G$19/M17)*100</f>
        <v>0</v>
      </c>
    </row>
    <row r="19" spans="1:15" x14ac:dyDescent="0.2">
      <c r="G19" s="63"/>
    </row>
    <row r="20" spans="1:15" x14ac:dyDescent="0.2">
      <c r="A20" s="65" t="s">
        <v>19</v>
      </c>
      <c r="B20" s="16">
        <f>+B12</f>
        <v>685976</v>
      </c>
      <c r="C20" s="11" t="s">
        <v>37</v>
      </c>
      <c r="E20" s="71"/>
      <c r="G20" s="63"/>
    </row>
    <row r="21" spans="1:15" x14ac:dyDescent="0.2">
      <c r="A21" s="65" t="s">
        <v>566</v>
      </c>
      <c r="B21" s="232">
        <v>0.11749999999999999</v>
      </c>
    </row>
    <row r="22" spans="1:15" x14ac:dyDescent="0.2">
      <c r="A22" s="65" t="s">
        <v>21</v>
      </c>
      <c r="B22" s="16">
        <f>((B12-B15)*B21)/12</f>
        <v>5373.4786666666669</v>
      </c>
      <c r="C22" s="11" t="s">
        <v>131</v>
      </c>
      <c r="G22" s="63"/>
    </row>
    <row r="23" spans="1:15" x14ac:dyDescent="0.2">
      <c r="A23" s="16" t="s">
        <v>8</v>
      </c>
      <c r="B23" s="16" t="s">
        <v>8</v>
      </c>
      <c r="G23" s="236"/>
    </row>
    <row r="24" spans="1:15" x14ac:dyDescent="0.2">
      <c r="A24" s="18" t="s">
        <v>22</v>
      </c>
      <c r="B24" s="16" t="s">
        <v>8</v>
      </c>
      <c r="G24" s="63"/>
    </row>
    <row r="26" spans="1:15" x14ac:dyDescent="0.2">
      <c r="A26" s="21" t="s">
        <v>23</v>
      </c>
      <c r="B26" s="22">
        <f>DADOS!D21</f>
        <v>6.5910000000000002</v>
      </c>
      <c r="C26" s="11" t="s">
        <v>213</v>
      </c>
    </row>
    <row r="27" spans="1:15" x14ac:dyDescent="0.2">
      <c r="A27" s="21" t="s">
        <v>601</v>
      </c>
      <c r="B27" s="22">
        <f>G29*26.08</f>
        <v>6062.7306666666655</v>
      </c>
      <c r="C27" s="11" t="s">
        <v>215</v>
      </c>
      <c r="G27" s="11">
        <f>(31.7*2)</f>
        <v>63.4</v>
      </c>
      <c r="I27" s="71"/>
      <c r="K27" s="63"/>
    </row>
    <row r="28" spans="1:15" x14ac:dyDescent="0.2">
      <c r="A28" s="21" t="s">
        <v>24</v>
      </c>
      <c r="B28" s="22">
        <v>2.5</v>
      </c>
      <c r="C28" s="11" t="s">
        <v>214</v>
      </c>
      <c r="G28" s="63">
        <f>11/3</f>
        <v>3.6666666666666665</v>
      </c>
      <c r="K28" s="63"/>
      <c r="L28" s="63"/>
    </row>
    <row r="29" spans="1:15" x14ac:dyDescent="0.2">
      <c r="A29" s="23" t="s">
        <v>25</v>
      </c>
      <c r="B29" s="22">
        <f>+(B27/B28)*B26</f>
        <v>15983.783129599997</v>
      </c>
      <c r="C29" s="11" t="s">
        <v>131</v>
      </c>
      <c r="E29" s="25"/>
      <c r="G29" s="71">
        <f>G27*G28</f>
        <v>232.46666666666664</v>
      </c>
      <c r="K29" s="63"/>
    </row>
    <row r="30" spans="1:15" x14ac:dyDescent="0.2">
      <c r="A30" s="21"/>
      <c r="B30" s="22"/>
      <c r="K30" s="63"/>
    </row>
    <row r="31" spans="1:15" x14ac:dyDescent="0.2">
      <c r="A31" s="18" t="s">
        <v>26</v>
      </c>
      <c r="B31" s="16" t="s">
        <v>8</v>
      </c>
      <c r="K31" s="63"/>
    </row>
    <row r="32" spans="1:15" x14ac:dyDescent="0.2">
      <c r="K32" s="63"/>
    </row>
    <row r="33" spans="1:7" x14ac:dyDescent="0.2">
      <c r="A33" s="21" t="s">
        <v>94</v>
      </c>
      <c r="B33" s="22">
        <f>'BASCULANTE 6'!B33</f>
        <v>16739.400000000001</v>
      </c>
      <c r="C33" s="11" t="s">
        <v>37</v>
      </c>
    </row>
    <row r="34" spans="1:7" x14ac:dyDescent="0.2">
      <c r="A34" s="21" t="s">
        <v>27</v>
      </c>
      <c r="B34" s="22">
        <v>50000</v>
      </c>
      <c r="C34" s="11" t="s">
        <v>45</v>
      </c>
    </row>
    <row r="35" spans="1:7" x14ac:dyDescent="0.2">
      <c r="A35" s="21" t="s">
        <v>477</v>
      </c>
      <c r="B35" s="22">
        <f>B27</f>
        <v>6062.7306666666655</v>
      </c>
      <c r="C35" s="11" t="s">
        <v>215</v>
      </c>
    </row>
    <row r="36" spans="1:7" x14ac:dyDescent="0.2">
      <c r="A36" s="21" t="s">
        <v>28</v>
      </c>
      <c r="B36" s="22">
        <f>+(B33*B35)/B34</f>
        <v>2029.7294744319997</v>
      </c>
      <c r="C36" s="11" t="s">
        <v>131</v>
      </c>
      <c r="E36" s="25"/>
      <c r="G36" s="22"/>
    </row>
    <row r="37" spans="1:7" x14ac:dyDescent="0.2">
      <c r="A37" s="21"/>
      <c r="B37" s="22"/>
    </row>
    <row r="38" spans="1:7" x14ac:dyDescent="0.2">
      <c r="A38" s="21" t="s">
        <v>29</v>
      </c>
    </row>
    <row r="39" spans="1:7" x14ac:dyDescent="0.2">
      <c r="A39" s="21" t="s">
        <v>7</v>
      </c>
    </row>
    <row r="40" spans="1:7" x14ac:dyDescent="0.2">
      <c r="A40" s="21" t="s">
        <v>30</v>
      </c>
      <c r="B40" s="64">
        <v>0.13</v>
      </c>
      <c r="E40" s="25"/>
    </row>
    <row r="41" spans="1:7" x14ac:dyDescent="0.2">
      <c r="A41" s="21" t="s">
        <v>582</v>
      </c>
      <c r="B41" s="25">
        <f>G14</f>
        <v>685976</v>
      </c>
      <c r="C41" s="11" t="s">
        <v>37</v>
      </c>
    </row>
    <row r="42" spans="1:7" x14ac:dyDescent="0.2">
      <c r="A42" s="21" t="s">
        <v>32</v>
      </c>
      <c r="B42" s="22">
        <v>12</v>
      </c>
      <c r="C42" s="11" t="s">
        <v>55</v>
      </c>
    </row>
    <row r="43" spans="1:7" x14ac:dyDescent="0.2">
      <c r="A43" s="21" t="s">
        <v>33</v>
      </c>
      <c r="B43" s="22">
        <f>+(B40*B41)/B42</f>
        <v>7431.4066666666668</v>
      </c>
      <c r="C43" s="11" t="s">
        <v>131</v>
      </c>
    </row>
    <row r="45" spans="1:7" x14ac:dyDescent="0.2">
      <c r="A45" s="23" t="s">
        <v>74</v>
      </c>
      <c r="B45" s="22"/>
    </row>
    <row r="46" spans="1:7" x14ac:dyDescent="0.2">
      <c r="A46" s="21"/>
      <c r="B46" s="22"/>
    </row>
    <row r="47" spans="1:7" x14ac:dyDescent="0.2">
      <c r="A47" s="23" t="s">
        <v>187</v>
      </c>
      <c r="B47" s="30">
        <f>'BASCULANTE 6'!B47</f>
        <v>62.22</v>
      </c>
      <c r="C47" s="11" t="s">
        <v>131</v>
      </c>
      <c r="G47" s="71"/>
    </row>
    <row r="48" spans="1:7" x14ac:dyDescent="0.2">
      <c r="A48" s="23" t="s">
        <v>76</v>
      </c>
      <c r="B48" s="22">
        <v>20.36</v>
      </c>
      <c r="C48" s="11" t="s">
        <v>131</v>
      </c>
    </row>
    <row r="49" spans="1:7" x14ac:dyDescent="0.2">
      <c r="A49" s="23" t="s">
        <v>77</v>
      </c>
      <c r="B49" s="22">
        <v>8.6</v>
      </c>
      <c r="C49" s="11" t="s">
        <v>131</v>
      </c>
    </row>
    <row r="50" spans="1:7" x14ac:dyDescent="0.2">
      <c r="A50" s="23" t="s">
        <v>78</v>
      </c>
      <c r="B50" s="22">
        <f>5.3*2.5</f>
        <v>13.25</v>
      </c>
      <c r="C50" s="11" t="s">
        <v>131</v>
      </c>
    </row>
    <row r="51" spans="1:7" x14ac:dyDescent="0.2">
      <c r="A51" s="23" t="s">
        <v>567</v>
      </c>
      <c r="B51" s="22">
        <f>10*20</f>
        <v>200</v>
      </c>
      <c r="C51" s="11" t="s">
        <v>131</v>
      </c>
    </row>
    <row r="52" spans="1:7" x14ac:dyDescent="0.2">
      <c r="A52" s="23" t="s">
        <v>79</v>
      </c>
      <c r="B52" s="22">
        <f>(+B47+B48+B49+B50)*15%</f>
        <v>15.664499999999999</v>
      </c>
      <c r="C52" s="11" t="s">
        <v>131</v>
      </c>
    </row>
    <row r="53" spans="1:7" x14ac:dyDescent="0.2">
      <c r="A53" s="23" t="s">
        <v>80</v>
      </c>
      <c r="B53" s="68">
        <f>+B47+B48+B49+B50+B51+B52</f>
        <v>320.09449999999998</v>
      </c>
      <c r="C53" s="11" t="s">
        <v>131</v>
      </c>
    </row>
    <row r="54" spans="1:7" x14ac:dyDescent="0.2">
      <c r="A54" s="23"/>
      <c r="B54" s="22"/>
      <c r="G54" s="71"/>
    </row>
    <row r="55" spans="1:7" x14ac:dyDescent="0.2">
      <c r="A55" s="23" t="s">
        <v>81</v>
      </c>
      <c r="B55" s="22"/>
    </row>
    <row r="56" spans="1:7" x14ac:dyDescent="0.2">
      <c r="A56" s="23"/>
      <c r="B56" s="22"/>
    </row>
    <row r="57" spans="1:7" x14ac:dyDescent="0.2">
      <c r="A57" s="23" t="s">
        <v>153</v>
      </c>
      <c r="B57" s="22">
        <f>(+G17*3%)/12</f>
        <v>817.51621413169676</v>
      </c>
      <c r="C57" s="11" t="s">
        <v>131</v>
      </c>
    </row>
    <row r="58" spans="1:7" x14ac:dyDescent="0.2">
      <c r="A58" s="23" t="s">
        <v>569</v>
      </c>
      <c r="B58" s="22">
        <f>(173.52+(+G12*1.5%))/12</f>
        <v>587.21500000000003</v>
      </c>
      <c r="C58" s="11" t="s">
        <v>131</v>
      </c>
    </row>
    <row r="59" spans="1:7" x14ac:dyDescent="0.2">
      <c r="A59" s="11" t="s">
        <v>82</v>
      </c>
      <c r="B59" s="35">
        <f>+B57+B58</f>
        <v>1404.7312141316968</v>
      </c>
      <c r="C59" s="11" t="s">
        <v>131</v>
      </c>
    </row>
    <row r="61" spans="1:7" x14ac:dyDescent="0.2">
      <c r="A61" s="26" t="s">
        <v>83</v>
      </c>
      <c r="B61" s="27">
        <f>B59+(B53-B51)+B43+B36+B29+B22+B16</f>
        <v>41489.570318163693</v>
      </c>
      <c r="C61" s="31" t="s">
        <v>131</v>
      </c>
      <c r="E61" s="71"/>
    </row>
    <row r="63" spans="1:7" hidden="1" x14ac:dyDescent="0.2">
      <c r="A63" s="26" t="s">
        <v>439</v>
      </c>
      <c r="B63" s="209">
        <f>(B29+B36+B53)-B51</f>
        <v>18133.607104031995</v>
      </c>
      <c r="C63" s="26" t="s">
        <v>131</v>
      </c>
    </row>
    <row r="65" spans="2:2" x14ac:dyDescent="0.2">
      <c r="B65" s="71"/>
    </row>
  </sheetData>
  <mergeCells count="4">
    <mergeCell ref="A1:B1"/>
    <mergeCell ref="A2:B2"/>
    <mergeCell ref="A6:B6"/>
    <mergeCell ref="A8:B8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4"/>
  <sheetViews>
    <sheetView view="pageBreakPreview" zoomScaleNormal="100" zoomScaleSheetLayoutView="100" workbookViewId="0">
      <selection activeCell="M8" sqref="M8"/>
    </sheetView>
  </sheetViews>
  <sheetFormatPr defaultColWidth="9.33203125" defaultRowHeight="20.100000000000001" customHeight="1" x14ac:dyDescent="0.2"/>
  <cols>
    <col min="1" max="1" width="30" style="301" customWidth="1"/>
    <col min="2" max="2" width="10" style="301" customWidth="1"/>
    <col min="3" max="3" width="35.83203125" style="301" customWidth="1"/>
    <col min="4" max="4" width="18.33203125" style="191" customWidth="1"/>
    <col min="5" max="5" width="18.33203125" style="191" hidden="1" customWidth="1"/>
    <col min="6" max="7" width="0" style="301" hidden="1" customWidth="1"/>
    <col min="8" max="9" width="14.83203125" style="191" hidden="1" customWidth="1"/>
    <col min="10" max="10" width="7.83203125" style="191" customWidth="1"/>
    <col min="11" max="12" width="10" style="191" customWidth="1"/>
    <col min="13" max="13" width="12.5" style="191" customWidth="1"/>
    <col min="14" max="14" width="7.83203125" style="191" customWidth="1"/>
    <col min="15" max="19" width="12.5" style="301" customWidth="1"/>
    <col min="20" max="20" width="14.83203125" style="301" customWidth="1"/>
    <col min="21" max="16384" width="9.33203125" style="301"/>
  </cols>
  <sheetData>
    <row r="1" spans="1:20" s="11" customFormat="1" ht="12.75" x14ac:dyDescent="0.2">
      <c r="A1" s="339" t="s">
        <v>0</v>
      </c>
      <c r="B1" s="339"/>
      <c r="C1" s="339"/>
      <c r="D1" s="339"/>
      <c r="E1" s="339"/>
      <c r="F1" s="72"/>
    </row>
    <row r="2" spans="1:20" s="11" customFormat="1" ht="12.75" x14ac:dyDescent="0.2">
      <c r="A2" s="16"/>
      <c r="B2" s="16"/>
      <c r="C2" s="16"/>
      <c r="D2" s="16"/>
      <c r="E2" s="16"/>
      <c r="F2" s="16"/>
      <c r="G2" s="16"/>
    </row>
    <row r="3" spans="1:20" s="11" customFormat="1" ht="12.75" x14ac:dyDescent="0.2">
      <c r="A3" s="73" t="s">
        <v>605</v>
      </c>
      <c r="B3" s="73"/>
      <c r="C3" s="73"/>
      <c r="D3" s="18"/>
      <c r="E3" s="18"/>
      <c r="F3" s="18"/>
      <c r="G3" s="18"/>
    </row>
    <row r="5" spans="1:20" s="298" customFormat="1" ht="12.75" x14ac:dyDescent="0.2">
      <c r="A5" s="353" t="s">
        <v>606</v>
      </c>
      <c r="B5" s="353" t="s">
        <v>420</v>
      </c>
      <c r="C5" s="353"/>
      <c r="D5" s="296" t="s">
        <v>607</v>
      </c>
      <c r="E5" s="297"/>
      <c r="H5" s="299"/>
      <c r="I5" s="299"/>
      <c r="J5" s="299"/>
      <c r="K5" s="299"/>
      <c r="L5" s="299"/>
      <c r="M5" s="299"/>
      <c r="N5" s="299"/>
    </row>
    <row r="6" spans="1:20" s="298" customFormat="1" ht="12.75" x14ac:dyDescent="0.2">
      <c r="A6" s="354"/>
      <c r="B6" s="354"/>
      <c r="C6" s="354"/>
      <c r="D6" s="296" t="s">
        <v>608</v>
      </c>
      <c r="E6" s="296" t="s">
        <v>609</v>
      </c>
      <c r="H6" s="299"/>
      <c r="I6" s="299"/>
      <c r="J6" s="299"/>
      <c r="K6" s="299"/>
      <c r="L6" s="299"/>
      <c r="M6" s="299"/>
      <c r="N6" s="299"/>
    </row>
    <row r="7" spans="1:20" ht="12.75" x14ac:dyDescent="0.2">
      <c r="A7" s="300" t="s">
        <v>610</v>
      </c>
      <c r="B7" s="300"/>
      <c r="C7" s="300" t="s">
        <v>611</v>
      </c>
      <c r="D7" s="201"/>
      <c r="E7" s="201"/>
    </row>
    <row r="8" spans="1:20" ht="12.75" x14ac:dyDescent="0.2">
      <c r="A8" s="341" t="s">
        <v>612</v>
      </c>
      <c r="B8" s="300" t="s">
        <v>613</v>
      </c>
      <c r="C8" s="300"/>
      <c r="D8" s="201">
        <v>76</v>
      </c>
      <c r="E8" s="201">
        <f>D8</f>
        <v>76</v>
      </c>
      <c r="K8" s="349" t="s">
        <v>604</v>
      </c>
      <c r="L8" s="349"/>
      <c r="M8" s="302">
        <v>476829.23</v>
      </c>
      <c r="N8" s="303"/>
      <c r="O8" s="196" t="s">
        <v>547</v>
      </c>
      <c r="P8" s="196" t="s">
        <v>548</v>
      </c>
      <c r="Q8" s="296" t="s">
        <v>549</v>
      </c>
      <c r="R8" s="196" t="s">
        <v>550</v>
      </c>
      <c r="S8" s="196" t="s">
        <v>551</v>
      </c>
    </row>
    <row r="9" spans="1:20" ht="12.75" x14ac:dyDescent="0.2">
      <c r="A9" s="341"/>
      <c r="B9" s="300" t="s">
        <v>614</v>
      </c>
      <c r="C9" s="300"/>
      <c r="D9" s="201">
        <v>57</v>
      </c>
      <c r="E9" s="201">
        <f t="shared" ref="E9:E18" si="0">D9</f>
        <v>57</v>
      </c>
      <c r="K9" s="350"/>
      <c r="L9" s="351"/>
      <c r="M9" s="351"/>
      <c r="N9" s="352"/>
      <c r="O9" s="304">
        <v>1</v>
      </c>
      <c r="P9" s="201">
        <f>$M$8</f>
        <v>476829.23</v>
      </c>
      <c r="Q9" s="201">
        <f>SLN($M$8,$D$13,$M$12)</f>
        <v>56623.471062500001</v>
      </c>
      <c r="R9" s="201">
        <f>Q9</f>
        <v>56623.471062500001</v>
      </c>
      <c r="S9" s="201">
        <f>P9-R9</f>
        <v>420205.75893749995</v>
      </c>
      <c r="T9" s="301">
        <v>1200</v>
      </c>
    </row>
    <row r="10" spans="1:20" ht="12.75" x14ac:dyDescent="0.2">
      <c r="A10" s="341" t="s">
        <v>615</v>
      </c>
      <c r="B10" s="300" t="s">
        <v>232</v>
      </c>
      <c r="C10" s="342" t="s">
        <v>616</v>
      </c>
      <c r="D10" s="202">
        <f>(D11/M8)</f>
        <v>0.40624999999999989</v>
      </c>
      <c r="E10" s="201">
        <f t="shared" si="0"/>
        <v>0.40624999999999989</v>
      </c>
      <c r="H10" s="191">
        <f>E11-E13</f>
        <v>169870.41318749994</v>
      </c>
      <c r="K10" s="344" t="s">
        <v>617</v>
      </c>
      <c r="L10" s="345"/>
      <c r="M10" s="201">
        <f>[1]D6!V15</f>
        <v>104.16666666666667</v>
      </c>
      <c r="N10" s="305" t="s">
        <v>618</v>
      </c>
      <c r="O10" s="304">
        <v>2</v>
      </c>
      <c r="P10" s="201">
        <f t="shared" ref="P10:P16" si="1">$M$8</f>
        <v>476829.23</v>
      </c>
      <c r="Q10" s="201">
        <f t="shared" ref="Q10:Q16" si="2">SLN($M$8,$D$13,$M$12)</f>
        <v>56623.471062500001</v>
      </c>
      <c r="R10" s="201">
        <f>Q10+R9</f>
        <v>113246.942125</v>
      </c>
      <c r="S10" s="201">
        <f t="shared" ref="S10:S16" si="3">P10-R10</f>
        <v>363582.28787499998</v>
      </c>
      <c r="T10" s="301">
        <v>2400</v>
      </c>
    </row>
    <row r="11" spans="1:20" ht="12.75" x14ac:dyDescent="0.2">
      <c r="A11" s="341"/>
      <c r="B11" s="300" t="s">
        <v>37</v>
      </c>
      <c r="C11" s="343"/>
      <c r="D11" s="201">
        <f>S13</f>
        <v>193711.87468749995</v>
      </c>
      <c r="E11" s="201">
        <f t="shared" si="0"/>
        <v>193711.87468749995</v>
      </c>
      <c r="K11" s="346"/>
      <c r="L11" s="347"/>
      <c r="M11" s="201">
        <f>M10*12</f>
        <v>1250</v>
      </c>
      <c r="N11" s="300" t="s">
        <v>562</v>
      </c>
      <c r="O11" s="304">
        <v>3</v>
      </c>
      <c r="P11" s="201">
        <f t="shared" si="1"/>
        <v>476829.23</v>
      </c>
      <c r="Q11" s="201">
        <f t="shared" si="2"/>
        <v>56623.471062500001</v>
      </c>
      <c r="R11" s="201">
        <f t="shared" ref="R11:R16" si="4">Q11+R10</f>
        <v>169870.4131875</v>
      </c>
      <c r="S11" s="201">
        <f t="shared" si="3"/>
        <v>306958.81681250001</v>
      </c>
      <c r="T11" s="301">
        <v>3600</v>
      </c>
    </row>
    <row r="12" spans="1:20" ht="12.75" x14ac:dyDescent="0.2">
      <c r="A12" s="342" t="s">
        <v>619</v>
      </c>
      <c r="B12" s="300" t="s">
        <v>232</v>
      </c>
      <c r="C12" s="300" t="s">
        <v>620</v>
      </c>
      <c r="D12" s="202">
        <v>0.05</v>
      </c>
      <c r="E12" s="201">
        <f t="shared" si="0"/>
        <v>0.05</v>
      </c>
      <c r="K12" s="348" t="s">
        <v>621</v>
      </c>
      <c r="L12" s="348"/>
      <c r="M12" s="201">
        <v>8</v>
      </c>
      <c r="N12" s="306"/>
      <c r="O12" s="304">
        <v>4</v>
      </c>
      <c r="P12" s="201">
        <f t="shared" si="1"/>
        <v>476829.23</v>
      </c>
      <c r="Q12" s="201">
        <f t="shared" si="2"/>
        <v>56623.471062500001</v>
      </c>
      <c r="R12" s="201">
        <f t="shared" si="4"/>
        <v>226493.88425</v>
      </c>
      <c r="S12" s="201">
        <f t="shared" si="3"/>
        <v>250335.34574999998</v>
      </c>
      <c r="T12" s="301">
        <v>4800</v>
      </c>
    </row>
    <row r="13" spans="1:20" ht="12.75" x14ac:dyDescent="0.2">
      <c r="A13" s="343"/>
      <c r="B13" s="300" t="s">
        <v>37</v>
      </c>
      <c r="C13" s="300"/>
      <c r="D13" s="201">
        <f>M8*D12</f>
        <v>23841.461500000001</v>
      </c>
      <c r="E13" s="201">
        <f t="shared" si="0"/>
        <v>23841.461500000001</v>
      </c>
      <c r="K13" s="301"/>
      <c r="L13" s="301"/>
      <c r="M13" s="301"/>
      <c r="N13" s="301"/>
      <c r="O13" s="304">
        <v>5</v>
      </c>
      <c r="P13" s="201">
        <f t="shared" si="1"/>
        <v>476829.23</v>
      </c>
      <c r="Q13" s="201">
        <f t="shared" si="2"/>
        <v>56623.471062500001</v>
      </c>
      <c r="R13" s="201">
        <f t="shared" si="4"/>
        <v>283117.35531250003</v>
      </c>
      <c r="S13" s="201">
        <f t="shared" si="3"/>
        <v>193711.87468749995</v>
      </c>
      <c r="T13" s="301">
        <v>6000</v>
      </c>
    </row>
    <row r="14" spans="1:20" ht="12.75" x14ac:dyDescent="0.2">
      <c r="A14" s="300" t="s">
        <v>622</v>
      </c>
      <c r="B14" s="300" t="s">
        <v>623</v>
      </c>
      <c r="C14" s="300" t="s">
        <v>620</v>
      </c>
      <c r="D14" s="201">
        <f>(D16*D15)</f>
        <v>10000</v>
      </c>
      <c r="E14" s="201">
        <f t="shared" si="0"/>
        <v>10000</v>
      </c>
      <c r="K14" s="301"/>
      <c r="L14" s="301"/>
      <c r="M14" s="301"/>
      <c r="N14" s="301"/>
      <c r="O14" s="304">
        <v>6</v>
      </c>
      <c r="P14" s="201">
        <f t="shared" si="1"/>
        <v>476829.23</v>
      </c>
      <c r="Q14" s="201">
        <f t="shared" si="2"/>
        <v>56623.471062500001</v>
      </c>
      <c r="R14" s="201">
        <f t="shared" si="4"/>
        <v>339740.82637500006</v>
      </c>
      <c r="S14" s="201">
        <f t="shared" si="3"/>
        <v>137088.40362499992</v>
      </c>
      <c r="T14" s="301">
        <v>7200</v>
      </c>
    </row>
    <row r="15" spans="1:20" ht="12.75" x14ac:dyDescent="0.2">
      <c r="A15" s="300" t="s">
        <v>624</v>
      </c>
      <c r="B15" s="300" t="s">
        <v>625</v>
      </c>
      <c r="C15" s="300" t="s">
        <v>626</v>
      </c>
      <c r="D15" s="201">
        <f>M12</f>
        <v>8</v>
      </c>
      <c r="E15" s="201">
        <f t="shared" si="0"/>
        <v>8</v>
      </c>
      <c r="O15" s="304">
        <v>7</v>
      </c>
      <c r="P15" s="201">
        <f t="shared" si="1"/>
        <v>476829.23</v>
      </c>
      <c r="Q15" s="201">
        <f t="shared" si="2"/>
        <v>56623.471062500001</v>
      </c>
      <c r="R15" s="201">
        <f t="shared" si="4"/>
        <v>396364.29743750009</v>
      </c>
      <c r="S15" s="201">
        <f t="shared" si="3"/>
        <v>80464.932562499889</v>
      </c>
      <c r="T15" s="301">
        <v>8400</v>
      </c>
    </row>
    <row r="16" spans="1:20" ht="25.5" x14ac:dyDescent="0.2">
      <c r="A16" s="307" t="s">
        <v>627</v>
      </c>
      <c r="B16" s="300" t="s">
        <v>628</v>
      </c>
      <c r="C16" s="300" t="s">
        <v>629</v>
      </c>
      <c r="D16" s="201">
        <f>M11</f>
        <v>1250</v>
      </c>
      <c r="E16" s="201">
        <f t="shared" si="0"/>
        <v>1250</v>
      </c>
      <c r="O16" s="304">
        <v>8</v>
      </c>
      <c r="P16" s="201">
        <f t="shared" si="1"/>
        <v>476829.23</v>
      </c>
      <c r="Q16" s="201">
        <f t="shared" si="2"/>
        <v>56623.471062500001</v>
      </c>
      <c r="R16" s="201">
        <f t="shared" si="4"/>
        <v>452987.76850000012</v>
      </c>
      <c r="S16" s="201">
        <f t="shared" si="3"/>
        <v>23841.461499999859</v>
      </c>
      <c r="T16" s="301">
        <v>9600</v>
      </c>
    </row>
    <row r="17" spans="1:22" ht="12.75" x14ac:dyDescent="0.2">
      <c r="A17" s="300" t="s">
        <v>630</v>
      </c>
      <c r="B17" s="300" t="s">
        <v>631</v>
      </c>
      <c r="C17" s="300" t="s">
        <v>632</v>
      </c>
      <c r="D17" s="202">
        <v>0.11749999999999999</v>
      </c>
      <c r="E17" s="202">
        <f t="shared" si="0"/>
        <v>0.11749999999999999</v>
      </c>
      <c r="O17" s="308"/>
      <c r="P17" s="308"/>
      <c r="Q17" s="308"/>
      <c r="R17" s="308"/>
      <c r="S17" s="308"/>
      <c r="T17" s="301">
        <v>10000</v>
      </c>
      <c r="V17" s="301">
        <f>T17/8</f>
        <v>1250</v>
      </c>
    </row>
    <row r="18" spans="1:22" ht="12.75" x14ac:dyDescent="0.2">
      <c r="A18" s="307" t="s">
        <v>633</v>
      </c>
      <c r="B18" s="300"/>
      <c r="C18" s="300"/>
      <c r="D18" s="201">
        <v>1</v>
      </c>
      <c r="E18" s="201">
        <f t="shared" si="0"/>
        <v>1</v>
      </c>
      <c r="O18" s="308"/>
      <c r="P18" s="308"/>
      <c r="Q18" s="308"/>
      <c r="R18" s="308"/>
      <c r="S18" s="308"/>
      <c r="V18" s="301">
        <f>V17/12</f>
        <v>104.16666666666667</v>
      </c>
    </row>
    <row r="19" spans="1:22" s="308" customFormat="1" ht="27" customHeight="1" x14ac:dyDescent="0.2">
      <c r="A19" s="309" t="s">
        <v>634</v>
      </c>
      <c r="B19" s="309" t="s">
        <v>307</v>
      </c>
      <c r="C19" s="310"/>
      <c r="D19" s="297">
        <f>(D11-D13)/D14</f>
        <v>16.987041318749995</v>
      </c>
      <c r="E19" s="297">
        <f>D19</f>
        <v>16.987041318749995</v>
      </c>
      <c r="H19" s="311"/>
      <c r="I19" s="311"/>
      <c r="J19" s="311"/>
      <c r="K19" s="311"/>
      <c r="L19" s="311"/>
      <c r="M19" s="311"/>
      <c r="N19" s="311"/>
    </row>
    <row r="20" spans="1:22" s="308" customFormat="1" ht="30.6" customHeight="1" x14ac:dyDescent="0.2">
      <c r="A20" s="309" t="s">
        <v>635</v>
      </c>
      <c r="B20" s="309" t="s">
        <v>37</v>
      </c>
      <c r="C20" s="310"/>
      <c r="D20" s="297">
        <f>((D11-D13)*((D15+1)/(2*D15)))+D13</f>
        <v>119393.56891796872</v>
      </c>
      <c r="E20" s="297">
        <f>D20</f>
        <v>119393.56891796872</v>
      </c>
      <c r="H20" s="311">
        <v>28076.98</v>
      </c>
      <c r="I20" s="311" t="s">
        <v>636</v>
      </c>
      <c r="J20" s="311"/>
      <c r="K20" s="311"/>
      <c r="L20" s="311"/>
      <c r="M20" s="311"/>
      <c r="N20" s="311"/>
    </row>
    <row r="21" spans="1:22" s="308" customFormat="1" ht="38.25" x14ac:dyDescent="0.2">
      <c r="A21" s="312" t="s">
        <v>637</v>
      </c>
      <c r="B21" s="309" t="s">
        <v>307</v>
      </c>
      <c r="C21" s="310"/>
      <c r="D21" s="297">
        <f>(D17*D20)/D14</f>
        <v>1.4028744347861324</v>
      </c>
      <c r="E21" s="297">
        <f>(E20*E17)/E14</f>
        <v>1.4028744347861324</v>
      </c>
      <c r="H21" s="311">
        <v>500</v>
      </c>
      <c r="I21" s="311" t="s">
        <v>638</v>
      </c>
      <c r="J21" s="311"/>
      <c r="K21" s="311"/>
      <c r="L21" s="311"/>
      <c r="M21" s="311"/>
      <c r="N21" s="311"/>
      <c r="O21" s="301"/>
      <c r="P21" s="301"/>
      <c r="Q21" s="301"/>
      <c r="R21" s="301"/>
      <c r="S21" s="301"/>
    </row>
    <row r="22" spans="1:22" s="308" customFormat="1" ht="27" customHeight="1" x14ac:dyDescent="0.2">
      <c r="A22" s="309" t="s">
        <v>639</v>
      </c>
      <c r="B22" s="309" t="s">
        <v>307</v>
      </c>
      <c r="C22" s="310"/>
      <c r="D22" s="297">
        <f>(D11*D18)/D14</f>
        <v>19.371187468749994</v>
      </c>
      <c r="E22" s="297">
        <f>I23+I27</f>
        <v>25.705156666666667</v>
      </c>
      <c r="H22" s="311">
        <v>5</v>
      </c>
      <c r="I22" s="311" t="s">
        <v>640</v>
      </c>
      <c r="J22" s="311"/>
      <c r="K22" s="311"/>
      <c r="L22" s="311"/>
      <c r="M22" s="311"/>
      <c r="N22" s="311"/>
      <c r="O22" s="301"/>
      <c r="P22" s="301"/>
      <c r="Q22" s="301"/>
      <c r="R22" s="301"/>
      <c r="S22" s="301"/>
    </row>
    <row r="23" spans="1:22" ht="25.5" x14ac:dyDescent="0.2">
      <c r="A23" s="307" t="s">
        <v>641</v>
      </c>
      <c r="B23" s="300" t="s">
        <v>642</v>
      </c>
      <c r="C23" s="300" t="s">
        <v>620</v>
      </c>
      <c r="D23" s="201">
        <v>10.45</v>
      </c>
      <c r="E23" s="201">
        <f t="shared" ref="E23:E29" si="5">D23</f>
        <v>10.45</v>
      </c>
      <c r="H23" s="191">
        <f>H20*H22</f>
        <v>140384.9</v>
      </c>
      <c r="I23" s="191">
        <f>H23/D14</f>
        <v>14.038489999999999</v>
      </c>
      <c r="O23" s="308"/>
      <c r="P23" s="308"/>
      <c r="Q23" s="308"/>
      <c r="R23" s="308"/>
      <c r="S23" s="308"/>
    </row>
    <row r="24" spans="1:22" ht="12.75" x14ac:dyDescent="0.2">
      <c r="A24" s="307" t="s">
        <v>643</v>
      </c>
      <c r="B24" s="300" t="s">
        <v>213</v>
      </c>
      <c r="C24" s="300"/>
      <c r="D24" s="201">
        <f>DADOS!D21</f>
        <v>6.5910000000000002</v>
      </c>
      <c r="E24" s="201">
        <f t="shared" si="5"/>
        <v>6.5910000000000002</v>
      </c>
      <c r="H24" s="191">
        <v>70000</v>
      </c>
    </row>
    <row r="25" spans="1:22" s="308" customFormat="1" ht="28.9" customHeight="1" x14ac:dyDescent="0.2">
      <c r="A25" s="309" t="s">
        <v>644</v>
      </c>
      <c r="B25" s="309" t="s">
        <v>307</v>
      </c>
      <c r="C25" s="309"/>
      <c r="D25" s="297">
        <f>D23*D24</f>
        <v>68.875950000000003</v>
      </c>
      <c r="E25" s="201">
        <f t="shared" si="5"/>
        <v>68.875950000000003</v>
      </c>
      <c r="H25" s="311">
        <v>6000</v>
      </c>
      <c r="I25" s="311" t="s">
        <v>638</v>
      </c>
      <c r="J25" s="311"/>
      <c r="K25" s="311"/>
      <c r="L25" s="311"/>
      <c r="M25" s="311"/>
      <c r="N25" s="311"/>
    </row>
    <row r="26" spans="1:22" ht="38.25" x14ac:dyDescent="0.2">
      <c r="A26" s="307" t="s">
        <v>645</v>
      </c>
      <c r="B26" s="300" t="s">
        <v>646</v>
      </c>
      <c r="C26" s="300" t="s">
        <v>620</v>
      </c>
      <c r="D26" s="313">
        <v>7.5600000000000001E-2</v>
      </c>
      <c r="E26" s="201">
        <f t="shared" si="5"/>
        <v>7.5600000000000001E-2</v>
      </c>
      <c r="H26" s="191">
        <f>D14/H25</f>
        <v>1.6666666666666667</v>
      </c>
      <c r="I26" s="191" t="s">
        <v>640</v>
      </c>
      <c r="O26" s="308"/>
      <c r="P26" s="308"/>
      <c r="Q26" s="308"/>
      <c r="R26" s="308"/>
      <c r="S26" s="308"/>
    </row>
    <row r="27" spans="1:22" s="308" customFormat="1" ht="38.25" x14ac:dyDescent="0.2">
      <c r="A27" s="307" t="s">
        <v>647</v>
      </c>
      <c r="B27" s="300" t="s">
        <v>642</v>
      </c>
      <c r="C27" s="300"/>
      <c r="D27" s="201">
        <f>D26*D9</f>
        <v>4.3091999999999997</v>
      </c>
      <c r="E27" s="201">
        <f t="shared" si="5"/>
        <v>4.3091999999999997</v>
      </c>
      <c r="H27" s="311">
        <f>H24*H26</f>
        <v>116666.66666666667</v>
      </c>
      <c r="I27" s="311">
        <f>H27/D14</f>
        <v>11.666666666666668</v>
      </c>
      <c r="J27" s="311"/>
      <c r="K27" s="311"/>
      <c r="L27" s="311"/>
      <c r="M27" s="311"/>
      <c r="N27" s="311"/>
    </row>
    <row r="28" spans="1:22" s="308" customFormat="1" ht="38.25" x14ac:dyDescent="0.2">
      <c r="A28" s="312" t="s">
        <v>648</v>
      </c>
      <c r="B28" s="309" t="s">
        <v>307</v>
      </c>
      <c r="C28" s="309"/>
      <c r="D28" s="297">
        <f>D27*D24</f>
        <v>28.401937199999999</v>
      </c>
      <c r="E28" s="201">
        <f t="shared" si="5"/>
        <v>28.401937199999999</v>
      </c>
      <c r="H28" s="311">
        <f>H23+H27</f>
        <v>257051.56666666665</v>
      </c>
      <c r="I28" s="311"/>
      <c r="J28" s="311"/>
      <c r="K28" s="311"/>
      <c r="L28" s="311"/>
      <c r="M28" s="311"/>
      <c r="N28" s="311"/>
    </row>
    <row r="29" spans="1:22" s="308" customFormat="1" ht="12.75" x14ac:dyDescent="0.2">
      <c r="A29" s="309" t="s">
        <v>649</v>
      </c>
      <c r="B29" s="309" t="s">
        <v>307</v>
      </c>
      <c r="C29" s="309" t="s">
        <v>650</v>
      </c>
      <c r="D29" s="190"/>
      <c r="E29" s="297">
        <f t="shared" si="5"/>
        <v>0</v>
      </c>
      <c r="H29" s="311">
        <f>H28/D11</f>
        <v>1.3269788807802703</v>
      </c>
      <c r="I29" s="311"/>
      <c r="J29" s="311"/>
      <c r="K29" s="311"/>
      <c r="L29" s="311"/>
      <c r="M29" s="311"/>
      <c r="N29" s="311"/>
    </row>
    <row r="30" spans="1:22" s="308" customFormat="1" ht="12.75" x14ac:dyDescent="0.2">
      <c r="A30" s="309" t="s">
        <v>651</v>
      </c>
      <c r="B30" s="309" t="s">
        <v>307</v>
      </c>
      <c r="C30" s="309"/>
      <c r="D30" s="297">
        <f>D19+D21+D22+D25+D28+D29</f>
        <v>135.03899042228613</v>
      </c>
      <c r="E30" s="297">
        <f>E19+E21+E22+E25+E28+E29</f>
        <v>141.37295962020281</v>
      </c>
      <c r="H30" s="311"/>
      <c r="I30" s="311">
        <f>D19+D21+I23+I27+D25+D28+D29</f>
        <v>141.37295962020281</v>
      </c>
      <c r="J30" s="311"/>
      <c r="K30" s="311"/>
      <c r="L30" s="311"/>
      <c r="M30" s="311"/>
      <c r="N30" s="311"/>
    </row>
    <row r="31" spans="1:22" s="308" customFormat="1" ht="12.75" x14ac:dyDescent="0.2">
      <c r="A31" s="309" t="s">
        <v>652</v>
      </c>
      <c r="B31" s="309" t="s">
        <v>307</v>
      </c>
      <c r="C31" s="309" t="s">
        <v>653</v>
      </c>
      <c r="D31" s="297">
        <f>D19+D21+D29</f>
        <v>18.389915753536126</v>
      </c>
      <c r="E31" s="297">
        <f>E19+E21+E29</f>
        <v>18.389915753536126</v>
      </c>
      <c r="H31" s="311"/>
      <c r="I31" s="311">
        <f>D19+D21+D29</f>
        <v>18.389915753536126</v>
      </c>
      <c r="J31" s="311"/>
      <c r="K31" s="311"/>
      <c r="L31" s="311"/>
      <c r="M31" s="311"/>
      <c r="N31" s="311"/>
      <c r="O31" s="301"/>
      <c r="P31" s="301"/>
      <c r="Q31" s="301"/>
      <c r="R31" s="301"/>
      <c r="S31" s="301"/>
    </row>
    <row r="32" spans="1:22" s="308" customFormat="1" ht="12.75" x14ac:dyDescent="0.2">
      <c r="A32" s="309" t="s">
        <v>654</v>
      </c>
      <c r="B32" s="309" t="s">
        <v>307</v>
      </c>
      <c r="C32" s="309"/>
      <c r="D32" s="297">
        <f>D30+D31</f>
        <v>153.42890617582225</v>
      </c>
      <c r="E32" s="297">
        <f>E30+E31</f>
        <v>159.76287537373892</v>
      </c>
      <c r="H32" s="311"/>
      <c r="I32" s="311">
        <f>SUM(I30:I31)</f>
        <v>159.76287537373892</v>
      </c>
      <c r="J32" s="311"/>
      <c r="K32" s="311"/>
      <c r="L32" s="311"/>
      <c r="M32" s="311"/>
      <c r="N32" s="311"/>
      <c r="O32" s="301"/>
      <c r="P32" s="301"/>
      <c r="Q32" s="301"/>
      <c r="R32" s="301"/>
      <c r="S32" s="301"/>
    </row>
    <row r="33" spans="1:9" ht="12.75" x14ac:dyDescent="0.2">
      <c r="A33" s="309" t="s">
        <v>468</v>
      </c>
      <c r="B33" s="309"/>
      <c r="C33" s="309"/>
      <c r="D33" s="314"/>
      <c r="E33" s="202">
        <v>0.28131021346469631</v>
      </c>
    </row>
    <row r="34" spans="1:9" ht="12.75" x14ac:dyDescent="0.2">
      <c r="A34" s="309" t="s">
        <v>655</v>
      </c>
      <c r="B34" s="309" t="s">
        <v>307</v>
      </c>
      <c r="C34" s="309"/>
      <c r="D34" s="297">
        <f>D32*(1+D33)</f>
        <v>153.42890617582225</v>
      </c>
      <c r="E34" s="201">
        <f>E32*(1+E33)</f>
        <v>204.70580394885909</v>
      </c>
      <c r="I34" s="201">
        <f>I32*(1+D33)</f>
        <v>159.76287537373892</v>
      </c>
    </row>
  </sheetData>
  <mergeCells count="12">
    <mergeCell ref="K8:L8"/>
    <mergeCell ref="K9:N9"/>
    <mergeCell ref="A1:E1"/>
    <mergeCell ref="A5:A6"/>
    <mergeCell ref="B5:B6"/>
    <mergeCell ref="C5:C6"/>
    <mergeCell ref="A8:A9"/>
    <mergeCell ref="A10:A11"/>
    <mergeCell ref="C10:C11"/>
    <mergeCell ref="K10:L11"/>
    <mergeCell ref="A12:A13"/>
    <mergeCell ref="K12:L12"/>
  </mergeCells>
  <pageMargins left="1.1811023622047245" right="0.78740157480314965" top="1.3779527559055118" bottom="0.98425196850393704" header="0.51181102362204722" footer="0.51181102362204722"/>
  <pageSetup paperSize="9" scale="67" orientation="landscape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6"/>
  <sheetViews>
    <sheetView topLeftCell="A10" workbookViewId="0">
      <selection activeCell="I7" sqref="I7:I17"/>
    </sheetView>
  </sheetViews>
  <sheetFormatPr defaultColWidth="12" defaultRowHeight="12.75" x14ac:dyDescent="0.2"/>
  <cols>
    <col min="1" max="1" width="7.5" style="252" customWidth="1"/>
    <col min="2" max="2" width="51.6640625" style="132" customWidth="1"/>
    <col min="3" max="4" width="14.83203125" style="69" customWidth="1"/>
    <col min="5" max="5" width="12.6640625" style="132" customWidth="1"/>
    <col min="6" max="6" width="14.83203125" style="132" customWidth="1"/>
    <col min="7" max="7" width="18.6640625" style="132" customWidth="1"/>
    <col min="8" max="8" width="16.83203125" style="132" hidden="1" customWidth="1"/>
    <col min="9" max="9" width="16.83203125" style="132" customWidth="1"/>
    <col min="10" max="10" width="16" style="321" customWidth="1"/>
    <col min="11" max="11" width="8.83203125" style="47" customWidth="1"/>
    <col min="12" max="12" width="11.33203125" style="69" bestFit="1" customWidth="1"/>
    <col min="13" max="13" width="13.33203125" style="69" customWidth="1"/>
    <col min="14" max="14" width="15.6640625" style="69" customWidth="1"/>
    <col min="15" max="15" width="12" style="132"/>
    <col min="16" max="16" width="13" style="69" customWidth="1"/>
    <col min="17" max="16384" width="12" style="132"/>
  </cols>
  <sheetData>
    <row r="2" spans="1:16" x14ac:dyDescent="0.2">
      <c r="A2" s="331" t="s">
        <v>564</v>
      </c>
      <c r="B2" s="331"/>
      <c r="C2" s="331"/>
      <c r="D2" s="331"/>
      <c r="E2" s="331"/>
      <c r="F2" s="331"/>
      <c r="G2" s="331"/>
      <c r="H2" s="327"/>
      <c r="I2" s="327"/>
    </row>
    <row r="3" spans="1:16" x14ac:dyDescent="0.2">
      <c r="A3" s="331"/>
      <c r="B3" s="331"/>
      <c r="C3" s="331"/>
      <c r="D3" s="331"/>
      <c r="E3" s="331"/>
      <c r="F3" s="331"/>
      <c r="G3" s="331"/>
      <c r="H3" s="327"/>
      <c r="I3" s="327"/>
    </row>
    <row r="4" spans="1:16" ht="18" customHeight="1" x14ac:dyDescent="0.2">
      <c r="A4" s="331"/>
      <c r="B4" s="331"/>
      <c r="C4" s="331"/>
      <c r="D4" s="331"/>
      <c r="E4" s="331"/>
      <c r="F4" s="331"/>
      <c r="G4" s="331"/>
      <c r="H4" s="327"/>
      <c r="I4" s="327"/>
    </row>
    <row r="5" spans="1:16" ht="24" customHeight="1" x14ac:dyDescent="0.2">
      <c r="A5" s="333" t="s">
        <v>60</v>
      </c>
      <c r="B5" s="334" t="s">
        <v>61</v>
      </c>
      <c r="C5" s="335" t="s">
        <v>685</v>
      </c>
      <c r="D5" s="330" t="s">
        <v>686</v>
      </c>
      <c r="E5" s="333" t="s">
        <v>63</v>
      </c>
      <c r="F5" s="336" t="s">
        <v>59</v>
      </c>
      <c r="G5" s="333"/>
      <c r="H5" s="327"/>
      <c r="I5" s="327"/>
      <c r="L5" s="258"/>
    </row>
    <row r="6" spans="1:16" ht="24" customHeight="1" x14ac:dyDescent="0.2">
      <c r="A6" s="333"/>
      <c r="B6" s="334"/>
      <c r="C6" s="335"/>
      <c r="D6" s="330" t="s">
        <v>687</v>
      </c>
      <c r="E6" s="333"/>
      <c r="F6" s="329" t="s">
        <v>64</v>
      </c>
      <c r="G6" s="329" t="s">
        <v>65</v>
      </c>
      <c r="H6" s="260"/>
      <c r="I6" s="260"/>
      <c r="L6" s="258"/>
    </row>
    <row r="7" spans="1:16" s="108" customFormat="1" ht="27.95" customHeight="1" x14ac:dyDescent="0.2">
      <c r="A7" s="241">
        <v>1</v>
      </c>
      <c r="B7" s="242" t="s">
        <v>476</v>
      </c>
      <c r="C7" s="243">
        <f>VARRIÇÃO!D88</f>
        <v>1642.3063400000001</v>
      </c>
      <c r="D7" s="243">
        <f>C7*12</f>
        <v>19707.676080000001</v>
      </c>
      <c r="E7" s="244" t="s">
        <v>45</v>
      </c>
      <c r="F7" s="261">
        <f>VARRIÇÃO!D89</f>
        <v>110.19</v>
      </c>
      <c r="G7" s="262">
        <f>C7*F7</f>
        <v>180965.73560460002</v>
      </c>
      <c r="H7" s="263"/>
      <c r="I7" s="263">
        <f>F7*D7</f>
        <v>2171588.8272552001</v>
      </c>
      <c r="J7" s="322"/>
      <c r="K7" s="69"/>
      <c r="L7" s="264"/>
      <c r="M7" s="264"/>
      <c r="N7" s="264"/>
      <c r="O7" s="264"/>
      <c r="P7" s="265"/>
    </row>
    <row r="8" spans="1:16" s="108" customFormat="1" ht="27.95" customHeight="1" x14ac:dyDescent="0.2">
      <c r="A8" s="244">
        <v>2</v>
      </c>
      <c r="B8" s="242" t="s">
        <v>563</v>
      </c>
      <c r="C8" s="243">
        <f>DOMICILIAR!D107</f>
        <v>2338.1634471124435</v>
      </c>
      <c r="D8" s="243">
        <f t="shared" ref="D8:D17" si="0">C8*12</f>
        <v>28057.961365349322</v>
      </c>
      <c r="E8" s="244" t="s">
        <v>230</v>
      </c>
      <c r="F8" s="261">
        <f>DOMICILIAR!D108</f>
        <v>217.15</v>
      </c>
      <c r="G8" s="262">
        <f t="shared" ref="G8:G17" si="1">C8*F8</f>
        <v>507732.19254046713</v>
      </c>
      <c r="H8" s="263"/>
      <c r="I8" s="263">
        <f t="shared" ref="I8:I17" si="2">F8*D8</f>
        <v>6092786.3104856052</v>
      </c>
      <c r="J8" s="322"/>
      <c r="K8" s="69"/>
      <c r="L8" s="264"/>
      <c r="M8" s="264"/>
      <c r="N8" s="264"/>
      <c r="O8" s="264"/>
      <c r="P8" s="265"/>
    </row>
    <row r="9" spans="1:16" s="108" customFormat="1" ht="27.95" customHeight="1" x14ac:dyDescent="0.2">
      <c r="A9" s="241">
        <v>3</v>
      </c>
      <c r="B9" s="242" t="s">
        <v>658</v>
      </c>
      <c r="C9" s="243">
        <f>volumosos!D96</f>
        <v>469.43999999999994</v>
      </c>
      <c r="D9" s="243">
        <f t="shared" si="0"/>
        <v>5633.2799999999988</v>
      </c>
      <c r="E9" s="244" t="s">
        <v>230</v>
      </c>
      <c r="F9" s="261">
        <f>volumosos!D97</f>
        <v>124.91</v>
      </c>
      <c r="G9" s="262">
        <f t="shared" si="1"/>
        <v>58637.75039999999</v>
      </c>
      <c r="H9" s="263"/>
      <c r="I9" s="263">
        <f t="shared" si="2"/>
        <v>703653.00479999988</v>
      </c>
      <c r="J9" s="322"/>
      <c r="K9" s="69"/>
      <c r="L9" s="264"/>
      <c r="M9" s="264"/>
      <c r="N9" s="264"/>
      <c r="O9" s="264"/>
      <c r="P9" s="265"/>
    </row>
    <row r="10" spans="1:16" s="108" customFormat="1" ht="27.95" customHeight="1" x14ac:dyDescent="0.2">
      <c r="A10" s="241">
        <v>4</v>
      </c>
      <c r="B10" s="242" t="s">
        <v>659</v>
      </c>
      <c r="C10" s="243">
        <f>'vol1'!D96</f>
        <v>1043.1999999999998</v>
      </c>
      <c r="D10" s="243">
        <f t="shared" si="0"/>
        <v>12518.399999999998</v>
      </c>
      <c r="E10" s="244" t="s">
        <v>230</v>
      </c>
      <c r="F10" s="261">
        <f>'vol1'!D97</f>
        <v>142.93</v>
      </c>
      <c r="G10" s="262">
        <f t="shared" si="1"/>
        <v>149104.57599999997</v>
      </c>
      <c r="H10" s="263"/>
      <c r="I10" s="263">
        <f t="shared" si="2"/>
        <v>1789254.9119999998</v>
      </c>
      <c r="J10" s="322"/>
      <c r="K10" s="69"/>
      <c r="L10" s="264"/>
      <c r="M10" s="264"/>
      <c r="N10" s="264"/>
      <c r="O10" s="264"/>
      <c r="P10" s="265"/>
    </row>
    <row r="11" spans="1:16" s="108" customFormat="1" ht="27.95" customHeight="1" x14ac:dyDescent="0.2">
      <c r="A11" s="241">
        <v>5</v>
      </c>
      <c r="B11" s="242" t="s">
        <v>558</v>
      </c>
      <c r="C11" s="243">
        <f>Podação!D91</f>
        <v>100</v>
      </c>
      <c r="D11" s="243">
        <f t="shared" si="0"/>
        <v>1200</v>
      </c>
      <c r="E11" s="244" t="s">
        <v>230</v>
      </c>
      <c r="F11" s="261">
        <f>Podação!D92</f>
        <v>292.4508463633814</v>
      </c>
      <c r="G11" s="262">
        <f t="shared" si="1"/>
        <v>29245.084636338139</v>
      </c>
      <c r="H11" s="263"/>
      <c r="I11" s="263">
        <f t="shared" si="2"/>
        <v>350941.01563605771</v>
      </c>
      <c r="J11" s="322"/>
      <c r="K11" s="69"/>
      <c r="L11" s="264"/>
      <c r="M11" s="264"/>
      <c r="N11" s="264"/>
      <c r="O11" s="264"/>
      <c r="P11" s="265"/>
    </row>
    <row r="12" spans="1:16" s="108" customFormat="1" ht="27.95" customHeight="1" x14ac:dyDescent="0.2">
      <c r="A12" s="241">
        <v>6</v>
      </c>
      <c r="B12" s="242" t="s">
        <v>597</v>
      </c>
      <c r="C12" s="243">
        <f>ENSACADA!D90</f>
        <v>1</v>
      </c>
      <c r="D12" s="243">
        <f t="shared" si="0"/>
        <v>12</v>
      </c>
      <c r="E12" s="244" t="s">
        <v>443</v>
      </c>
      <c r="F12" s="261">
        <f>ENSACADA!D91</f>
        <v>61671.95</v>
      </c>
      <c r="G12" s="262">
        <f t="shared" si="1"/>
        <v>61671.95</v>
      </c>
      <c r="H12" s="263"/>
      <c r="I12" s="263">
        <f t="shared" si="2"/>
        <v>740063.39999999991</v>
      </c>
      <c r="J12" s="322"/>
      <c r="K12" s="69"/>
      <c r="L12" s="264"/>
      <c r="M12" s="264"/>
      <c r="N12" s="264"/>
      <c r="O12" s="264"/>
      <c r="P12" s="265"/>
    </row>
    <row r="13" spans="1:16" s="108" customFormat="1" ht="27.95" customHeight="1" x14ac:dyDescent="0.2">
      <c r="A13" s="241">
        <v>7</v>
      </c>
      <c r="B13" s="242" t="s">
        <v>343</v>
      </c>
      <c r="C13" s="243">
        <f>CAPINAÇÃO!D89</f>
        <v>20</v>
      </c>
      <c r="D13" s="243">
        <f t="shared" si="0"/>
        <v>240</v>
      </c>
      <c r="E13" s="244" t="s">
        <v>45</v>
      </c>
      <c r="F13" s="261">
        <f>CAPINAÇÃO!D90</f>
        <v>2489.48</v>
      </c>
      <c r="G13" s="262">
        <f t="shared" si="1"/>
        <v>49789.599999999999</v>
      </c>
      <c r="H13" s="263"/>
      <c r="I13" s="263">
        <f t="shared" si="2"/>
        <v>597475.19999999995</v>
      </c>
      <c r="J13" s="322"/>
      <c r="K13" s="69"/>
      <c r="L13" s="264"/>
      <c r="M13" s="264"/>
      <c r="N13" s="264"/>
      <c r="O13" s="264"/>
      <c r="P13" s="265"/>
    </row>
    <row r="14" spans="1:16" s="108" customFormat="1" ht="27.95" customHeight="1" x14ac:dyDescent="0.2">
      <c r="A14" s="241">
        <v>8</v>
      </c>
      <c r="B14" s="242" t="s">
        <v>327</v>
      </c>
      <c r="C14" s="243">
        <f>pintura!D68</f>
        <v>20</v>
      </c>
      <c r="D14" s="243">
        <f t="shared" si="0"/>
        <v>240</v>
      </c>
      <c r="E14" s="244" t="s">
        <v>45</v>
      </c>
      <c r="F14" s="261">
        <f>pintura!D69</f>
        <v>1123.69</v>
      </c>
      <c r="G14" s="262">
        <f t="shared" si="1"/>
        <v>22473.800000000003</v>
      </c>
      <c r="H14" s="263"/>
      <c r="I14" s="263">
        <f t="shared" si="2"/>
        <v>269685.60000000003</v>
      </c>
      <c r="J14" s="322"/>
      <c r="K14" s="69"/>
      <c r="L14" s="264"/>
      <c r="M14" s="264"/>
      <c r="N14" s="264"/>
      <c r="O14" s="264"/>
      <c r="P14" s="265"/>
    </row>
    <row r="15" spans="1:16" s="108" customFormat="1" ht="27.95" customHeight="1" x14ac:dyDescent="0.2">
      <c r="A15" s="241">
        <v>9</v>
      </c>
      <c r="B15" s="242" t="s">
        <v>488</v>
      </c>
      <c r="C15" s="243">
        <f>diversos!D89</f>
        <v>1</v>
      </c>
      <c r="D15" s="243">
        <f t="shared" si="0"/>
        <v>12</v>
      </c>
      <c r="E15" s="244" t="s">
        <v>443</v>
      </c>
      <c r="F15" s="261">
        <f>diversos!D90</f>
        <v>83166.52</v>
      </c>
      <c r="G15" s="262">
        <f>C15*F15</f>
        <v>83166.52</v>
      </c>
      <c r="H15" s="263"/>
      <c r="I15" s="263">
        <f t="shared" si="2"/>
        <v>997998.24</v>
      </c>
      <c r="J15" s="323"/>
      <c r="K15" s="69"/>
      <c r="L15" s="264"/>
      <c r="M15" s="264"/>
      <c r="N15" s="264"/>
      <c r="O15" s="264"/>
    </row>
    <row r="16" spans="1:16" s="108" customFormat="1" ht="27.95" customHeight="1" x14ac:dyDescent="0.2">
      <c r="A16" s="241">
        <v>10</v>
      </c>
      <c r="B16" s="242" t="s">
        <v>660</v>
      </c>
      <c r="C16" s="243">
        <f>TRANSP!D107</f>
        <v>2338.1634471124435</v>
      </c>
      <c r="D16" s="243">
        <f t="shared" si="0"/>
        <v>28057.961365349322</v>
      </c>
      <c r="E16" s="244" t="s">
        <v>230</v>
      </c>
      <c r="F16" s="261">
        <f>TRANSP!D108</f>
        <v>83.41</v>
      </c>
      <c r="G16" s="262">
        <f>C16*F16</f>
        <v>195026.21312364889</v>
      </c>
      <c r="H16" s="263"/>
      <c r="I16" s="263">
        <f t="shared" si="2"/>
        <v>2340314.5574837867</v>
      </c>
      <c r="J16" s="323"/>
      <c r="K16" s="69"/>
      <c r="L16" s="264"/>
      <c r="M16" s="264"/>
      <c r="N16" s="264"/>
      <c r="O16" s="264"/>
    </row>
    <row r="17" spans="1:16" s="108" customFormat="1" ht="27.95" customHeight="1" x14ac:dyDescent="0.2">
      <c r="A17" s="241">
        <v>11</v>
      </c>
      <c r="B17" s="242" t="s">
        <v>474</v>
      </c>
      <c r="C17" s="243">
        <v>1</v>
      </c>
      <c r="D17" s="243">
        <f t="shared" si="0"/>
        <v>12</v>
      </c>
      <c r="E17" s="248" t="s">
        <v>595</v>
      </c>
      <c r="F17" s="261">
        <f>'Adm1'!C172</f>
        <v>63167.27</v>
      </c>
      <c r="G17" s="262">
        <f t="shared" si="1"/>
        <v>63167.27</v>
      </c>
      <c r="H17" s="263"/>
      <c r="I17" s="263">
        <f t="shared" si="2"/>
        <v>758007.24</v>
      </c>
      <c r="J17" s="323"/>
      <c r="K17" s="69"/>
      <c r="L17" s="264"/>
      <c r="M17" s="264"/>
      <c r="N17" s="264"/>
      <c r="O17" s="264"/>
    </row>
    <row r="18" spans="1:16" s="108" customFormat="1" ht="22.15" customHeight="1" x14ac:dyDescent="0.2">
      <c r="A18" s="266"/>
      <c r="B18" s="267"/>
      <c r="C18" s="268"/>
      <c r="D18" s="268"/>
      <c r="E18" s="269"/>
      <c r="F18" s="261"/>
      <c r="G18" s="262"/>
      <c r="H18" s="263"/>
      <c r="I18" s="263"/>
      <c r="J18" s="323"/>
      <c r="K18" s="69"/>
      <c r="L18" s="264"/>
      <c r="M18" s="264"/>
      <c r="N18" s="264"/>
      <c r="O18" s="264"/>
    </row>
    <row r="19" spans="1:16" s="108" customFormat="1" ht="22.15" customHeight="1" x14ac:dyDescent="0.2">
      <c r="A19" s="266"/>
      <c r="B19" s="245" t="s">
        <v>188</v>
      </c>
      <c r="C19" s="270"/>
      <c r="D19" s="270"/>
      <c r="E19" s="245"/>
      <c r="F19" s="271"/>
      <c r="G19" s="272">
        <f>SUM(G7:H17)</f>
        <v>1400980.6923050543</v>
      </c>
      <c r="H19" s="273"/>
      <c r="I19" s="273">
        <f>SUM(I7:I18)</f>
        <v>16811768.30766065</v>
      </c>
      <c r="J19" s="324"/>
      <c r="K19" s="274"/>
      <c r="L19" s="275"/>
      <c r="M19" s="264"/>
      <c r="N19" s="264"/>
      <c r="O19" s="264"/>
    </row>
    <row r="20" spans="1:16" s="108" customFormat="1" ht="22.15" customHeight="1" x14ac:dyDescent="0.2">
      <c r="A20" s="266"/>
      <c r="B20" s="245" t="s">
        <v>675</v>
      </c>
      <c r="C20" s="270"/>
      <c r="D20" s="270"/>
      <c r="E20" s="245"/>
      <c r="F20" s="276"/>
      <c r="G20" s="277">
        <f>G19*12</f>
        <v>16811768.30766065</v>
      </c>
      <c r="H20" s="278"/>
      <c r="I20" s="278"/>
      <c r="J20" s="325"/>
      <c r="K20" s="279"/>
      <c r="L20" s="264"/>
      <c r="M20" s="264"/>
      <c r="O20" s="264"/>
    </row>
    <row r="21" spans="1:16" ht="36" customHeight="1" x14ac:dyDescent="0.2">
      <c r="A21" s="332"/>
      <c r="B21" s="332"/>
      <c r="C21" s="332"/>
      <c r="D21" s="332"/>
      <c r="E21" s="332"/>
      <c r="F21" s="332"/>
      <c r="G21" s="332"/>
      <c r="H21" s="328"/>
      <c r="I21" s="328"/>
      <c r="N21" s="132"/>
      <c r="O21" s="69"/>
      <c r="P21" s="132"/>
    </row>
    <row r="22" spans="1:16" x14ac:dyDescent="0.2">
      <c r="F22" s="280"/>
      <c r="G22" s="52"/>
      <c r="H22" s="52"/>
      <c r="I22" s="52"/>
      <c r="N22" s="132"/>
      <c r="O22" s="69"/>
      <c r="P22" s="132"/>
    </row>
    <row r="23" spans="1:16" x14ac:dyDescent="0.2">
      <c r="F23" s="280"/>
      <c r="G23" s="255"/>
      <c r="H23" s="281"/>
      <c r="I23" s="255"/>
      <c r="N23" s="132"/>
      <c r="O23" s="69"/>
      <c r="P23" s="132"/>
    </row>
    <row r="24" spans="1:16" x14ac:dyDescent="0.2">
      <c r="I24" s="282"/>
      <c r="N24" s="132"/>
      <c r="O24" s="69"/>
      <c r="P24" s="132"/>
    </row>
    <row r="25" spans="1:16" x14ac:dyDescent="0.2">
      <c r="G25" s="53"/>
      <c r="I25" s="282"/>
      <c r="N25" s="132"/>
      <c r="O25" s="69"/>
      <c r="P25" s="132"/>
    </row>
    <row r="26" spans="1:16" x14ac:dyDescent="0.2">
      <c r="B26" s="283"/>
      <c r="G26" s="52"/>
      <c r="H26" s="52"/>
      <c r="I26" s="52"/>
      <c r="N26" s="132"/>
      <c r="O26" s="69"/>
      <c r="P26" s="132"/>
    </row>
    <row r="27" spans="1:16" x14ac:dyDescent="0.2">
      <c r="B27" s="283"/>
      <c r="G27" s="52"/>
      <c r="H27" s="52"/>
      <c r="I27" s="52"/>
      <c r="N27" s="132"/>
      <c r="O27" s="69"/>
      <c r="P27" s="132"/>
    </row>
    <row r="28" spans="1:16" x14ac:dyDescent="0.2">
      <c r="B28" s="253"/>
      <c r="G28" s="53">
        <f>G19*0.75</f>
        <v>1050735.5192287907</v>
      </c>
      <c r="N28" s="132"/>
      <c r="O28" s="69"/>
      <c r="P28" s="132"/>
    </row>
    <row r="29" spans="1:16" x14ac:dyDescent="0.2">
      <c r="B29" s="253"/>
      <c r="G29" s="53"/>
      <c r="N29" s="132"/>
      <c r="O29" s="69"/>
      <c r="P29" s="132"/>
    </row>
    <row r="30" spans="1:16" x14ac:dyDescent="0.2">
      <c r="B30" s="251"/>
      <c r="G30" s="53"/>
      <c r="K30" s="284"/>
      <c r="N30" s="132"/>
      <c r="O30" s="69"/>
      <c r="P30" s="132"/>
    </row>
    <row r="31" spans="1:16" x14ac:dyDescent="0.2">
      <c r="B31" s="283"/>
      <c r="G31" s="69"/>
      <c r="H31" s="69"/>
      <c r="I31" s="69"/>
      <c r="K31" s="284"/>
      <c r="N31" s="132"/>
      <c r="O31" s="69"/>
      <c r="P31" s="132"/>
    </row>
    <row r="32" spans="1:16" x14ac:dyDescent="0.2">
      <c r="B32" s="253"/>
      <c r="K32" s="284"/>
      <c r="N32" s="132"/>
      <c r="O32" s="69"/>
      <c r="P32" s="132"/>
    </row>
    <row r="33" spans="2:16" x14ac:dyDescent="0.2">
      <c r="B33" s="251"/>
      <c r="G33" s="53"/>
      <c r="K33" s="284"/>
      <c r="N33" s="132"/>
      <c r="O33" s="69"/>
      <c r="P33" s="132"/>
    </row>
    <row r="34" spans="2:16" x14ac:dyDescent="0.2">
      <c r="B34" s="283"/>
      <c r="G34" s="69"/>
      <c r="H34" s="69"/>
      <c r="I34" s="69"/>
      <c r="K34" s="284"/>
      <c r="N34" s="132"/>
      <c r="O34" s="69"/>
      <c r="P34" s="132"/>
    </row>
    <row r="35" spans="2:16" x14ac:dyDescent="0.2">
      <c r="B35" s="253"/>
      <c r="K35" s="284"/>
      <c r="N35" s="132"/>
      <c r="O35" s="69"/>
      <c r="P35" s="132"/>
    </row>
    <row r="36" spans="2:16" x14ac:dyDescent="0.2">
      <c r="B36" s="253"/>
      <c r="K36" s="284"/>
      <c r="N36" s="132"/>
      <c r="O36" s="69"/>
      <c r="P36" s="132"/>
    </row>
    <row r="37" spans="2:16" x14ac:dyDescent="0.2">
      <c r="B37" s="253"/>
    </row>
    <row r="38" spans="2:16" x14ac:dyDescent="0.2">
      <c r="B38" s="253"/>
    </row>
    <row r="39" spans="2:16" x14ac:dyDescent="0.2">
      <c r="B39" s="253"/>
      <c r="C39" s="254"/>
      <c r="D39" s="254"/>
    </row>
    <row r="40" spans="2:16" x14ac:dyDescent="0.2">
      <c r="B40" s="253"/>
    </row>
    <row r="41" spans="2:16" x14ac:dyDescent="0.2">
      <c r="B41" s="283"/>
    </row>
    <row r="42" spans="2:16" x14ac:dyDescent="0.2">
      <c r="B42" s="283"/>
    </row>
    <row r="43" spans="2:16" x14ac:dyDescent="0.2">
      <c r="B43" s="253"/>
    </row>
    <row r="44" spans="2:16" x14ac:dyDescent="0.2">
      <c r="B44" s="283"/>
      <c r="J44" s="104"/>
      <c r="K44" s="285"/>
    </row>
    <row r="45" spans="2:16" x14ac:dyDescent="0.2">
      <c r="B45" s="283"/>
    </row>
    <row r="46" spans="2:16" x14ac:dyDescent="0.2">
      <c r="B46" s="103"/>
    </row>
  </sheetData>
  <mergeCells count="9">
    <mergeCell ref="A21:G21"/>
    <mergeCell ref="A2:G2"/>
    <mergeCell ref="A3:G3"/>
    <mergeCell ref="A4:G4"/>
    <mergeCell ref="A5:A6"/>
    <mergeCell ref="B5:B6"/>
    <mergeCell ref="C5:C6"/>
    <mergeCell ref="E5:E6"/>
    <mergeCell ref="F5:G5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08"/>
  <sheetViews>
    <sheetView view="pageBreakPreview" topLeftCell="A36" workbookViewId="0">
      <selection activeCell="I30" sqref="I30"/>
    </sheetView>
  </sheetViews>
  <sheetFormatPr defaultColWidth="9.33203125" defaultRowHeight="12.75" x14ac:dyDescent="0.2"/>
  <cols>
    <col min="1" max="1" width="50.83203125" style="41" customWidth="1"/>
    <col min="2" max="2" width="10.83203125" style="41" customWidth="1"/>
    <col min="3" max="3" width="7.5" style="41" customWidth="1"/>
    <col min="4" max="4" width="14.83203125" style="41" customWidth="1"/>
    <col min="5" max="5" width="10.83203125" style="41" customWidth="1"/>
    <col min="6" max="6" width="14.83203125" style="158" customWidth="1"/>
    <col min="7" max="7" width="10.83203125" style="41" customWidth="1"/>
    <col min="8" max="8" width="11.33203125" style="41" customWidth="1"/>
    <col min="9" max="9" width="13.6640625" style="132" customWidth="1"/>
    <col min="10" max="10" width="10.83203125" style="132" bestFit="1" customWidth="1"/>
    <col min="11" max="11" width="15" style="132" customWidth="1"/>
    <col min="12" max="12" width="9.33203125" style="132"/>
    <col min="13" max="13" width="15.33203125" style="132" customWidth="1"/>
    <col min="14" max="14" width="9.33203125" style="132"/>
    <col min="15" max="15" width="14.1640625" style="157" customWidth="1"/>
    <col min="16" max="16" width="9.33203125" style="132"/>
    <col min="17" max="17" width="18.1640625" style="69" customWidth="1"/>
    <col min="18" max="16384" width="9.33203125" style="132"/>
  </cols>
  <sheetData>
    <row r="1" spans="1:8" ht="18.75" hidden="1" x14ac:dyDescent="0.2">
      <c r="A1" s="356" t="s">
        <v>226</v>
      </c>
      <c r="B1" s="356"/>
      <c r="C1" s="356"/>
      <c r="D1" s="356"/>
      <c r="E1" s="356"/>
      <c r="F1" s="156"/>
      <c r="G1" s="148"/>
      <c r="H1" s="39"/>
    </row>
    <row r="2" spans="1:8" ht="18" hidden="1" customHeight="1" x14ac:dyDescent="0.2">
      <c r="A2" s="356"/>
      <c r="B2" s="356"/>
      <c r="C2" s="356"/>
      <c r="D2" s="356"/>
      <c r="E2" s="356"/>
      <c r="F2" s="156"/>
      <c r="G2" s="148"/>
      <c r="H2" s="40"/>
    </row>
    <row r="3" spans="1:8" hidden="1" x14ac:dyDescent="0.2"/>
    <row r="4" spans="1:8" hidden="1" x14ac:dyDescent="0.2"/>
    <row r="5" spans="1:8" hidden="1" x14ac:dyDescent="0.2">
      <c r="A5" s="150" t="s">
        <v>228</v>
      </c>
      <c r="D5" s="150" t="s">
        <v>222</v>
      </c>
    </row>
    <row r="7" spans="1:8" x14ac:dyDescent="0.2">
      <c r="A7" s="355" t="s">
        <v>0</v>
      </c>
      <c r="B7" s="355"/>
      <c r="C7" s="355"/>
      <c r="D7" s="355"/>
      <c r="E7" s="355"/>
      <c r="F7" s="159"/>
      <c r="G7" s="149"/>
      <c r="H7" s="116"/>
    </row>
    <row r="8" spans="1:8" x14ac:dyDescent="0.2">
      <c r="A8" s="44"/>
      <c r="B8" s="44"/>
      <c r="C8" s="44"/>
      <c r="D8" s="44"/>
      <c r="E8" s="44"/>
      <c r="F8" s="160"/>
      <c r="G8" s="44"/>
      <c r="H8" s="44"/>
    </row>
    <row r="9" spans="1:8" x14ac:dyDescent="0.2">
      <c r="A9" s="117" t="s">
        <v>326</v>
      </c>
      <c r="B9" s="117"/>
      <c r="C9" s="117"/>
      <c r="D9" s="46"/>
      <c r="E9" s="118"/>
      <c r="F9" s="161"/>
      <c r="G9" s="118"/>
      <c r="H9" s="46"/>
    </row>
    <row r="10" spans="1:8" x14ac:dyDescent="0.2">
      <c r="A10" s="44"/>
      <c r="B10" s="44"/>
      <c r="C10" s="44"/>
      <c r="D10" s="44"/>
      <c r="E10" s="44"/>
      <c r="F10" s="160"/>
      <c r="G10" s="44"/>
      <c r="H10" s="44"/>
    </row>
    <row r="11" spans="1:8" x14ac:dyDescent="0.2">
      <c r="A11" s="162" t="s">
        <v>34</v>
      </c>
      <c r="B11" s="163"/>
      <c r="C11" s="163"/>
      <c r="D11" s="129"/>
      <c r="E11" s="44"/>
      <c r="F11" s="160"/>
      <c r="G11" s="44"/>
      <c r="H11" s="44"/>
    </row>
    <row r="12" spans="1:8" x14ac:dyDescent="0.2">
      <c r="A12" s="44"/>
      <c r="B12" s="44"/>
      <c r="C12" s="44"/>
      <c r="D12" s="120" t="s">
        <v>161</v>
      </c>
      <c r="E12" s="120"/>
      <c r="F12" s="120" t="s">
        <v>162</v>
      </c>
      <c r="G12" s="44"/>
      <c r="H12" s="44"/>
    </row>
    <row r="13" spans="1:8" x14ac:dyDescent="0.2">
      <c r="A13" s="121" t="s">
        <v>95</v>
      </c>
      <c r="B13" s="121"/>
      <c r="C13" s="121"/>
      <c r="D13" s="44">
        <f>25+3</f>
        <v>28</v>
      </c>
      <c r="E13" s="44" t="s">
        <v>35</v>
      </c>
      <c r="F13" s="160">
        <f>6+1</f>
        <v>7</v>
      </c>
      <c r="G13" s="44" t="s">
        <v>35</v>
      </c>
      <c r="H13" s="44"/>
    </row>
    <row r="14" spans="1:8" x14ac:dyDescent="0.2">
      <c r="A14" s="121" t="s">
        <v>318</v>
      </c>
      <c r="B14" s="56"/>
      <c r="C14" s="56"/>
      <c r="D14" s="44">
        <f>VARREDOR!B34</f>
        <v>3070.8678666666665</v>
      </c>
      <c r="E14" s="56" t="s">
        <v>36</v>
      </c>
      <c r="F14" s="164">
        <f>VARREDOR!B64</f>
        <v>3203.3616766666669</v>
      </c>
      <c r="G14" s="56" t="s">
        <v>36</v>
      </c>
      <c r="H14" s="44"/>
    </row>
    <row r="15" spans="1:8" x14ac:dyDescent="0.2">
      <c r="A15" s="121" t="s">
        <v>480</v>
      </c>
      <c r="B15" s="56"/>
      <c r="C15" s="56"/>
      <c r="D15" s="44">
        <f>ROUND((((D13*(D14/220)*1.5)*4*4)+(7*((D14/220)*2)*4*4)+(7*((D14/220)*2)*8*1)),2)</f>
        <v>14070.16</v>
      </c>
      <c r="E15" s="121" t="s">
        <v>37</v>
      </c>
      <c r="F15" s="44">
        <f>ROUND((((F13*(F14/220)*1.5)*4*4)),2)</f>
        <v>2446.1999999999998</v>
      </c>
      <c r="G15" s="121" t="s">
        <v>37</v>
      </c>
      <c r="H15" s="44"/>
    </row>
    <row r="16" spans="1:8" x14ac:dyDescent="0.2">
      <c r="A16" s="121" t="s">
        <v>319</v>
      </c>
      <c r="B16" s="121"/>
      <c r="C16" s="121"/>
      <c r="D16" s="44">
        <f>(D13*D14)+D15</f>
        <v>100054.46026666666</v>
      </c>
      <c r="E16" s="44" t="s">
        <v>37</v>
      </c>
      <c r="F16" s="44">
        <f>(F13*F14)+F15</f>
        <v>24869.731736666668</v>
      </c>
      <c r="G16" s="44" t="s">
        <v>37</v>
      </c>
      <c r="H16" s="44"/>
    </row>
    <row r="17" spans="1:8" x14ac:dyDescent="0.2">
      <c r="A17" s="121"/>
      <c r="B17" s="121"/>
      <c r="C17" s="121"/>
      <c r="D17" s="44"/>
      <c r="E17" s="44"/>
      <c r="F17" s="160"/>
      <c r="G17" s="44"/>
      <c r="H17" s="44"/>
    </row>
    <row r="18" spans="1:8" x14ac:dyDescent="0.2">
      <c r="A18" s="56" t="s">
        <v>38</v>
      </c>
      <c r="B18" s="56"/>
      <c r="C18" s="56"/>
      <c r="D18" s="44">
        <v>1</v>
      </c>
      <c r="E18" s="44" t="s">
        <v>35</v>
      </c>
      <c r="F18" s="160"/>
      <c r="G18" s="44" t="s">
        <v>35</v>
      </c>
      <c r="H18" s="44"/>
    </row>
    <row r="19" spans="1:8" x14ac:dyDescent="0.2">
      <c r="A19" s="44" t="s">
        <v>321</v>
      </c>
      <c r="B19" s="44"/>
      <c r="C19" s="44"/>
      <c r="D19" s="44">
        <f>'ENC I'!B32</f>
        <v>5896.6907724273269</v>
      </c>
      <c r="E19" s="44" t="s">
        <v>36</v>
      </c>
      <c r="F19" s="160">
        <f>'ENC I'!B59</f>
        <v>6317.4516010755824</v>
      </c>
      <c r="G19" s="44" t="s">
        <v>36</v>
      </c>
      <c r="H19" s="44"/>
    </row>
    <row r="20" spans="1:8" x14ac:dyDescent="0.2">
      <c r="A20" s="121" t="s">
        <v>480</v>
      </c>
      <c r="B20" s="56"/>
      <c r="C20" s="56"/>
      <c r="D20" s="44">
        <f>ROUND((((D18*(D19/220)*1.5)*4*4)),2)</f>
        <v>643.28</v>
      </c>
      <c r="E20" s="44" t="s">
        <v>37</v>
      </c>
      <c r="F20" s="44">
        <f>ROUND((((F18*(D19/220)*1.5)*4*4)+(F18*((F19/220)*2)*8*1)),2)</f>
        <v>0</v>
      </c>
      <c r="G20" s="44" t="s">
        <v>37</v>
      </c>
      <c r="H20" s="44"/>
    </row>
    <row r="21" spans="1:8" x14ac:dyDescent="0.2">
      <c r="A21" s="44" t="s">
        <v>320</v>
      </c>
      <c r="B21" s="44"/>
      <c r="C21" s="44"/>
      <c r="D21" s="44">
        <f>(D19*D18)+D20</f>
        <v>6539.9707724273267</v>
      </c>
      <c r="E21" s="44" t="s">
        <v>37</v>
      </c>
      <c r="F21" s="160">
        <f>(F18*F19)+F20</f>
        <v>0</v>
      </c>
      <c r="G21" s="44" t="s">
        <v>37</v>
      </c>
      <c r="H21" s="44"/>
    </row>
    <row r="22" spans="1:8" x14ac:dyDescent="0.2">
      <c r="A22" s="44"/>
      <c r="B22" s="44"/>
      <c r="C22" s="44"/>
      <c r="D22" s="44"/>
      <c r="E22" s="44"/>
      <c r="F22" s="160"/>
      <c r="G22" s="44"/>
      <c r="H22" s="44"/>
    </row>
    <row r="23" spans="1:8" x14ac:dyDescent="0.2">
      <c r="A23" s="122" t="s">
        <v>189</v>
      </c>
      <c r="B23" s="122"/>
      <c r="C23" s="122"/>
      <c r="D23" s="122">
        <f>D16+D21+F16+F21</f>
        <v>131464.16277576066</v>
      </c>
      <c r="E23" s="122" t="s">
        <v>131</v>
      </c>
      <c r="F23" s="165"/>
      <c r="G23" s="122"/>
      <c r="H23" s="44"/>
    </row>
    <row r="24" spans="1:8" x14ac:dyDescent="0.2">
      <c r="A24" s="44"/>
      <c r="B24" s="44"/>
      <c r="C24" s="44"/>
      <c r="D24" s="44"/>
      <c r="E24" s="44"/>
      <c r="F24" s="160"/>
      <c r="G24" s="44"/>
      <c r="H24" s="44"/>
    </row>
    <row r="25" spans="1:8" x14ac:dyDescent="0.2">
      <c r="A25" s="127" t="s">
        <v>150</v>
      </c>
      <c r="B25" s="128"/>
      <c r="C25" s="128"/>
      <c r="D25" s="129"/>
      <c r="E25" s="44"/>
      <c r="F25" s="160"/>
      <c r="G25" s="44"/>
      <c r="H25" s="44"/>
    </row>
    <row r="26" spans="1:8" x14ac:dyDescent="0.2">
      <c r="A26" s="44"/>
      <c r="B26" s="44"/>
      <c r="C26" s="44"/>
      <c r="D26" s="44"/>
      <c r="E26" s="44"/>
      <c r="F26" s="160"/>
      <c r="G26" s="44"/>
      <c r="H26" s="44"/>
    </row>
    <row r="27" spans="1:8" x14ac:dyDescent="0.2">
      <c r="A27" s="44" t="s">
        <v>492</v>
      </c>
      <c r="B27" s="44"/>
      <c r="C27" s="44"/>
      <c r="D27" s="44">
        <f>PREÇOS!J11</f>
        <v>33.25</v>
      </c>
      <c r="E27" s="44" t="s">
        <v>37</v>
      </c>
      <c r="F27" s="160"/>
      <c r="G27" s="44"/>
      <c r="H27" s="44"/>
    </row>
    <row r="28" spans="1:8" x14ac:dyDescent="0.2">
      <c r="A28" s="44" t="s">
        <v>41</v>
      </c>
      <c r="B28" s="44"/>
      <c r="C28" s="44"/>
      <c r="D28" s="44">
        <v>15</v>
      </c>
      <c r="E28" s="44" t="s">
        <v>35</v>
      </c>
      <c r="F28" s="160"/>
      <c r="G28" s="44"/>
      <c r="H28" s="44"/>
    </row>
    <row r="29" spans="1:8" x14ac:dyDescent="0.2">
      <c r="A29" s="121" t="s">
        <v>42</v>
      </c>
      <c r="B29" s="121"/>
      <c r="C29" s="121"/>
      <c r="D29" s="44">
        <f>+D28*D27</f>
        <v>498.75</v>
      </c>
      <c r="E29" s="44" t="s">
        <v>37</v>
      </c>
      <c r="F29" s="160"/>
      <c r="G29" s="44"/>
      <c r="H29" s="44"/>
    </row>
    <row r="30" spans="1:8" x14ac:dyDescent="0.2">
      <c r="A30" s="44" t="s">
        <v>679</v>
      </c>
      <c r="B30" s="222">
        <f>((D13+F13)*12)*30</f>
        <v>12600</v>
      </c>
      <c r="C30" s="125" t="s">
        <v>114</v>
      </c>
      <c r="D30" s="44">
        <f>PREÇOS!G19*B30</f>
        <v>5544</v>
      </c>
      <c r="E30" s="44" t="s">
        <v>43</v>
      </c>
      <c r="F30" s="160"/>
      <c r="G30" s="44"/>
      <c r="H30" s="44"/>
    </row>
    <row r="31" spans="1:8" x14ac:dyDescent="0.2">
      <c r="A31" s="44" t="s">
        <v>493</v>
      </c>
      <c r="B31" s="222">
        <f>(D13+F13+D18+F18)*2*26</f>
        <v>1872</v>
      </c>
      <c r="C31" s="125" t="s">
        <v>494</v>
      </c>
      <c r="D31" s="44">
        <f>B31*PREÇOS!J29</f>
        <v>655.19999999999993</v>
      </c>
      <c r="E31" s="44" t="s">
        <v>43</v>
      </c>
      <c r="F31" s="160"/>
      <c r="G31" s="44"/>
      <c r="H31" s="44"/>
    </row>
    <row r="32" spans="1:8" x14ac:dyDescent="0.2">
      <c r="A32" s="44"/>
      <c r="B32" s="44"/>
      <c r="C32" s="44"/>
      <c r="D32" s="44"/>
      <c r="E32" s="44"/>
      <c r="F32" s="160"/>
      <c r="G32" s="44"/>
      <c r="H32" s="44"/>
    </row>
    <row r="33" spans="1:9" x14ac:dyDescent="0.2">
      <c r="A33" s="122" t="s">
        <v>190</v>
      </c>
      <c r="B33" s="122"/>
      <c r="C33" s="122"/>
      <c r="D33" s="122">
        <f>D29+D30+D31</f>
        <v>6697.95</v>
      </c>
      <c r="E33" s="122" t="s">
        <v>131</v>
      </c>
      <c r="F33" s="165"/>
      <c r="G33" s="122"/>
      <c r="H33" s="44"/>
    </row>
    <row r="34" spans="1:9" x14ac:dyDescent="0.2">
      <c r="A34" s="44"/>
      <c r="B34" s="44"/>
      <c r="C34" s="44"/>
      <c r="D34" s="44"/>
      <c r="E34" s="44"/>
      <c r="F34" s="160"/>
      <c r="G34" s="44"/>
      <c r="H34" s="44"/>
    </row>
    <row r="35" spans="1:9" x14ac:dyDescent="0.2">
      <c r="A35" s="127" t="s">
        <v>84</v>
      </c>
      <c r="B35" s="128"/>
      <c r="C35" s="128"/>
      <c r="D35" s="104"/>
      <c r="E35" s="44"/>
      <c r="F35" s="160"/>
      <c r="G35" s="44"/>
      <c r="H35" s="44"/>
    </row>
    <row r="36" spans="1:9" x14ac:dyDescent="0.2">
      <c r="A36" s="123"/>
      <c r="B36" s="123"/>
      <c r="C36" s="123"/>
      <c r="D36" s="124"/>
      <c r="E36" s="44"/>
      <c r="F36" s="160"/>
      <c r="G36" s="44"/>
      <c r="H36" s="44"/>
    </row>
    <row r="37" spans="1:9" x14ac:dyDescent="0.2">
      <c r="A37" s="51" t="s">
        <v>113</v>
      </c>
      <c r="B37" s="223">
        <v>17</v>
      </c>
      <c r="C37" s="125" t="s">
        <v>114</v>
      </c>
      <c r="D37" s="44">
        <f>B37*PREÇOS!J6</f>
        <v>245.93333333333334</v>
      </c>
      <c r="E37" s="44" t="s">
        <v>37</v>
      </c>
      <c r="F37" s="160"/>
      <c r="G37" s="44"/>
      <c r="H37" s="44"/>
    </row>
    <row r="38" spans="1:9" x14ac:dyDescent="0.2">
      <c r="A38" s="44" t="s">
        <v>117</v>
      </c>
      <c r="B38" s="222">
        <v>34</v>
      </c>
      <c r="C38" s="125" t="s">
        <v>114</v>
      </c>
      <c r="D38" s="44">
        <f>B38*PREÇOS!J8</f>
        <v>1103.1300000000001</v>
      </c>
      <c r="E38" s="44" t="s">
        <v>37</v>
      </c>
      <c r="F38" s="160"/>
      <c r="G38" s="44"/>
      <c r="H38" s="44"/>
    </row>
    <row r="39" spans="1:9" x14ac:dyDescent="0.2">
      <c r="A39" s="44" t="s">
        <v>224</v>
      </c>
      <c r="B39" s="126"/>
      <c r="C39" s="125"/>
      <c r="D39" s="44">
        <f>SUM(D37:D38)</f>
        <v>1349.0633333333335</v>
      </c>
      <c r="E39" s="44" t="s">
        <v>71</v>
      </c>
      <c r="F39" s="160"/>
      <c r="G39" s="44"/>
      <c r="H39" s="44"/>
    </row>
    <row r="40" spans="1:9" x14ac:dyDescent="0.2">
      <c r="A40" s="44"/>
      <c r="B40" s="44"/>
      <c r="C40" s="44"/>
      <c r="D40" s="44"/>
      <c r="E40" s="44"/>
      <c r="F40" s="160"/>
      <c r="G40" s="44"/>
      <c r="H40" s="44"/>
      <c r="I40" s="44"/>
    </row>
    <row r="41" spans="1:9" x14ac:dyDescent="0.2">
      <c r="A41" s="122" t="s">
        <v>191</v>
      </c>
      <c r="B41" s="122"/>
      <c r="C41" s="122"/>
      <c r="D41" s="122">
        <f>D39</f>
        <v>1349.0633333333335</v>
      </c>
      <c r="E41" s="122" t="s">
        <v>131</v>
      </c>
      <c r="F41" s="165"/>
      <c r="G41" s="122"/>
      <c r="H41" s="44"/>
      <c r="I41" s="44"/>
    </row>
    <row r="42" spans="1:9" x14ac:dyDescent="0.2">
      <c r="A42" s="44"/>
      <c r="B42" s="44"/>
      <c r="C42" s="44"/>
      <c r="D42" s="44"/>
      <c r="E42" s="44"/>
      <c r="F42" s="44"/>
      <c r="G42" s="44"/>
      <c r="H42" s="44"/>
      <c r="I42" s="44"/>
    </row>
    <row r="43" spans="1:9" hidden="1" x14ac:dyDescent="0.2">
      <c r="A43" s="127" t="s">
        <v>491</v>
      </c>
      <c r="B43" s="44"/>
      <c r="C43" s="44"/>
      <c r="D43" s="44"/>
      <c r="E43" s="44"/>
      <c r="F43" s="44"/>
      <c r="G43" s="44"/>
      <c r="H43" s="44"/>
      <c r="I43" s="44"/>
    </row>
    <row r="44" spans="1:9" hidden="1" x14ac:dyDescent="0.2">
      <c r="A44" s="127"/>
      <c r="B44" s="44"/>
      <c r="C44" s="44"/>
      <c r="D44" s="44"/>
      <c r="E44" s="44"/>
      <c r="F44" s="44"/>
      <c r="G44" s="44"/>
      <c r="H44" s="44"/>
      <c r="I44" s="44"/>
    </row>
    <row r="45" spans="1:9" hidden="1" x14ac:dyDescent="0.2">
      <c r="A45" s="225" t="s">
        <v>499</v>
      </c>
      <c r="B45" s="44"/>
      <c r="C45" s="44"/>
      <c r="D45" s="44"/>
      <c r="E45" s="44"/>
      <c r="F45" s="44"/>
      <c r="G45" s="44"/>
      <c r="H45" s="44"/>
      <c r="I45" s="44"/>
    </row>
    <row r="46" spans="1:9" hidden="1" x14ac:dyDescent="0.2">
      <c r="A46" s="225" t="s">
        <v>497</v>
      </c>
      <c r="B46" s="44"/>
      <c r="C46" s="44"/>
      <c r="D46" s="44">
        <f>63*1.5</f>
        <v>94.5</v>
      </c>
      <c r="E46" s="44" t="s">
        <v>496</v>
      </c>
      <c r="F46" s="44"/>
      <c r="G46" s="44"/>
      <c r="H46" s="44"/>
      <c r="I46" s="44"/>
    </row>
    <row r="47" spans="1:9" hidden="1" x14ac:dyDescent="0.2">
      <c r="A47" s="225" t="s">
        <v>498</v>
      </c>
      <c r="B47" s="44"/>
      <c r="C47" s="44"/>
      <c r="D47" s="44">
        <f>47.25*1.3</f>
        <v>61.425000000000004</v>
      </c>
      <c r="E47" s="44" t="s">
        <v>506</v>
      </c>
      <c r="F47" s="44"/>
      <c r="G47" s="44"/>
      <c r="H47" s="44"/>
      <c r="I47" s="44"/>
    </row>
    <row r="48" spans="1:9" hidden="1" x14ac:dyDescent="0.2">
      <c r="A48" s="225"/>
      <c r="B48" s="44"/>
      <c r="C48" s="44"/>
      <c r="D48" s="44"/>
      <c r="E48" s="44"/>
      <c r="F48" s="44"/>
      <c r="G48" s="44"/>
      <c r="H48" s="44"/>
      <c r="I48" s="44"/>
    </row>
    <row r="49" spans="1:9" hidden="1" x14ac:dyDescent="0.2">
      <c r="A49" s="225" t="s">
        <v>500</v>
      </c>
      <c r="B49" s="44"/>
      <c r="C49" s="44"/>
      <c r="D49" s="44"/>
      <c r="E49" s="44"/>
      <c r="F49" s="44"/>
      <c r="G49" s="44"/>
      <c r="H49" s="44"/>
      <c r="I49" s="44"/>
    </row>
    <row r="50" spans="1:9" hidden="1" x14ac:dyDescent="0.2">
      <c r="A50" s="225" t="s">
        <v>501</v>
      </c>
      <c r="B50" s="44"/>
      <c r="C50" s="44"/>
      <c r="D50" s="44">
        <v>800</v>
      </c>
      <c r="E50" s="44" t="s">
        <v>505</v>
      </c>
      <c r="F50" s="44"/>
      <c r="G50" s="44"/>
      <c r="H50" s="44"/>
      <c r="I50" s="44"/>
    </row>
    <row r="51" spans="1:9" hidden="1" x14ac:dyDescent="0.2">
      <c r="A51" s="225" t="s">
        <v>502</v>
      </c>
      <c r="B51" s="44"/>
      <c r="C51" s="44"/>
      <c r="D51" s="44">
        <v>60</v>
      </c>
      <c r="E51" s="44" t="s">
        <v>506</v>
      </c>
      <c r="F51" s="44"/>
      <c r="G51" s="44"/>
      <c r="H51" s="44"/>
      <c r="I51" s="44"/>
    </row>
    <row r="52" spans="1:9" hidden="1" x14ac:dyDescent="0.2">
      <c r="A52" s="225" t="s">
        <v>503</v>
      </c>
      <c r="B52" s="44"/>
      <c r="C52" s="44"/>
      <c r="D52" s="44">
        <v>30</v>
      </c>
      <c r="E52" s="44" t="s">
        <v>55</v>
      </c>
      <c r="F52" s="44"/>
      <c r="G52" s="44"/>
      <c r="H52" s="44"/>
      <c r="I52" s="44"/>
    </row>
    <row r="53" spans="1:9" hidden="1" x14ac:dyDescent="0.2">
      <c r="A53" s="44" t="s">
        <v>504</v>
      </c>
      <c r="B53" s="44"/>
      <c r="C53" s="44"/>
      <c r="D53" s="44">
        <f>(D50/D52)+D51</f>
        <v>86.666666666666671</v>
      </c>
      <c r="E53" s="44" t="s">
        <v>507</v>
      </c>
      <c r="F53" s="44"/>
      <c r="G53" s="44"/>
      <c r="H53" s="44"/>
      <c r="I53" s="44"/>
    </row>
    <row r="54" spans="1:9" hidden="1" x14ac:dyDescent="0.2">
      <c r="A54" s="44"/>
      <c r="B54" s="44"/>
      <c r="C54" s="44"/>
      <c r="D54" s="44"/>
      <c r="E54" s="44"/>
      <c r="F54" s="44"/>
      <c r="G54" s="44"/>
      <c r="H54" s="44"/>
      <c r="I54" s="44"/>
    </row>
    <row r="55" spans="1:9" hidden="1" x14ac:dyDescent="0.2">
      <c r="A55" s="44" t="s">
        <v>508</v>
      </c>
      <c r="B55" s="44"/>
      <c r="C55" s="44"/>
      <c r="D55" s="44"/>
      <c r="E55" s="44"/>
      <c r="F55" s="44"/>
      <c r="G55" s="44"/>
      <c r="H55" s="44"/>
      <c r="I55" s="44"/>
    </row>
    <row r="56" spans="1:9" hidden="1" x14ac:dyDescent="0.2">
      <c r="A56" s="44" t="s">
        <v>509</v>
      </c>
      <c r="B56" s="44"/>
      <c r="C56" s="44"/>
      <c r="D56" s="44"/>
      <c r="E56" s="44" t="s">
        <v>514</v>
      </c>
      <c r="F56" s="44"/>
      <c r="G56" s="44"/>
      <c r="H56" s="44"/>
      <c r="I56" s="44"/>
    </row>
    <row r="57" spans="1:9" hidden="1" x14ac:dyDescent="0.2">
      <c r="A57" s="44" t="s">
        <v>510</v>
      </c>
      <c r="B57" s="44"/>
      <c r="C57" s="44"/>
      <c r="D57" s="44"/>
      <c r="E57" s="44" t="s">
        <v>514</v>
      </c>
      <c r="F57" s="44"/>
      <c r="G57" s="44"/>
      <c r="H57" s="44"/>
      <c r="I57" s="44"/>
    </row>
    <row r="58" spans="1:9" hidden="1" x14ac:dyDescent="0.2">
      <c r="A58" s="44" t="s">
        <v>516</v>
      </c>
      <c r="B58" s="44"/>
      <c r="C58" s="44"/>
      <c r="D58" s="44">
        <f>D46*D56</f>
        <v>0</v>
      </c>
      <c r="E58" s="44" t="s">
        <v>515</v>
      </c>
      <c r="F58" s="44"/>
      <c r="G58" s="44"/>
      <c r="H58" s="44"/>
      <c r="I58" s="44"/>
    </row>
    <row r="59" spans="1:9" hidden="1" x14ac:dyDescent="0.2">
      <c r="A59" s="44" t="s">
        <v>511</v>
      </c>
      <c r="B59" s="44"/>
      <c r="C59" s="44"/>
      <c r="D59" s="44">
        <f>D57*D47</f>
        <v>0</v>
      </c>
      <c r="E59" s="44" t="s">
        <v>506</v>
      </c>
      <c r="F59" s="44"/>
      <c r="G59" s="44"/>
      <c r="H59" s="44"/>
      <c r="I59" s="44"/>
    </row>
    <row r="60" spans="1:9" hidden="1" x14ac:dyDescent="0.2">
      <c r="A60" s="44" t="s">
        <v>512</v>
      </c>
      <c r="B60" s="44"/>
      <c r="C60" s="44"/>
      <c r="D60" s="44"/>
      <c r="E60" s="44" t="s">
        <v>514</v>
      </c>
      <c r="F60" s="44"/>
      <c r="G60" s="44"/>
      <c r="H60" s="44"/>
      <c r="I60" s="44"/>
    </row>
    <row r="61" spans="1:9" hidden="1" x14ac:dyDescent="0.2">
      <c r="A61" s="44" t="s">
        <v>517</v>
      </c>
      <c r="B61" s="44"/>
      <c r="C61" s="44"/>
      <c r="D61" s="44">
        <f>D53*D60</f>
        <v>0</v>
      </c>
      <c r="E61" s="44" t="s">
        <v>518</v>
      </c>
      <c r="F61" s="44"/>
      <c r="G61" s="44"/>
      <c r="H61" s="44"/>
      <c r="I61" s="44"/>
    </row>
    <row r="62" spans="1:9" hidden="1" x14ac:dyDescent="0.2">
      <c r="A62" s="44"/>
      <c r="B62" s="44"/>
      <c r="C62" s="44"/>
      <c r="D62" s="44"/>
      <c r="E62" s="44"/>
      <c r="F62" s="44"/>
      <c r="G62" s="44"/>
      <c r="H62" s="44"/>
      <c r="I62" s="44"/>
    </row>
    <row r="63" spans="1:9" hidden="1" x14ac:dyDescent="0.2">
      <c r="A63" s="122" t="s">
        <v>513</v>
      </c>
      <c r="B63" s="122"/>
      <c r="C63" s="122"/>
      <c r="D63" s="122">
        <f>D58+D59+D61</f>
        <v>0</v>
      </c>
      <c r="E63" s="122" t="s">
        <v>131</v>
      </c>
      <c r="F63" s="165"/>
      <c r="G63" s="122"/>
      <c r="H63" s="44"/>
      <c r="I63" s="44"/>
    </row>
    <row r="64" spans="1:9" hidden="1" x14ac:dyDescent="0.2">
      <c r="A64" s="44"/>
      <c r="B64" s="44"/>
      <c r="C64" s="44"/>
      <c r="D64" s="44"/>
      <c r="E64" s="44"/>
      <c r="F64" s="160"/>
      <c r="G64" s="44"/>
      <c r="H64" s="44"/>
      <c r="I64" s="44"/>
    </row>
    <row r="65" spans="1:17" s="170" customFormat="1" hidden="1" x14ac:dyDescent="0.2">
      <c r="A65" s="162" t="s">
        <v>194</v>
      </c>
      <c r="B65" s="166"/>
      <c r="C65" s="167"/>
      <c r="D65" s="163"/>
      <c r="E65" s="168"/>
      <c r="F65" s="169"/>
      <c r="G65" s="168"/>
      <c r="H65" s="168"/>
      <c r="O65" s="171"/>
      <c r="Q65" s="172"/>
    </row>
    <row r="66" spans="1:17" hidden="1" x14ac:dyDescent="0.2">
      <c r="A66" s="44"/>
      <c r="B66" s="126"/>
      <c r="C66" s="125"/>
      <c r="D66" s="44"/>
      <c r="E66" s="44"/>
      <c r="F66" s="160"/>
      <c r="G66" s="44"/>
      <c r="H66" s="44"/>
    </row>
    <row r="67" spans="1:17" hidden="1" x14ac:dyDescent="0.2">
      <c r="A67" s="44" t="s">
        <v>171</v>
      </c>
      <c r="B67" s="126"/>
      <c r="C67" s="125" t="s">
        <v>114</v>
      </c>
      <c r="D67" s="44">
        <f>+B67*PREÇOS!G28</f>
        <v>0</v>
      </c>
      <c r="E67" s="44"/>
      <c r="F67" s="160"/>
      <c r="G67" s="44"/>
      <c r="H67" s="44"/>
    </row>
    <row r="68" spans="1:17" hidden="1" x14ac:dyDescent="0.2">
      <c r="A68" s="44" t="s">
        <v>69</v>
      </c>
      <c r="B68" s="44"/>
      <c r="C68" s="44"/>
      <c r="D68" s="44">
        <f>D67</f>
        <v>0</v>
      </c>
      <c r="E68" s="44" t="s">
        <v>37</v>
      </c>
      <c r="F68" s="160"/>
      <c r="G68" s="44"/>
      <c r="H68" s="44"/>
    </row>
    <row r="69" spans="1:17" hidden="1" x14ac:dyDescent="0.2">
      <c r="A69" s="44" t="s">
        <v>70</v>
      </c>
      <c r="B69" s="44"/>
      <c r="C69" s="44"/>
      <c r="D69" s="44">
        <v>12</v>
      </c>
      <c r="E69" s="44" t="s">
        <v>55</v>
      </c>
      <c r="F69" s="160"/>
      <c r="G69" s="44"/>
      <c r="H69" s="44"/>
    </row>
    <row r="70" spans="1:17" hidden="1" x14ac:dyDescent="0.2">
      <c r="A70" s="44" t="s">
        <v>56</v>
      </c>
      <c r="B70" s="44"/>
      <c r="C70" s="44"/>
      <c r="D70" s="44">
        <f>+D68/+D69</f>
        <v>0</v>
      </c>
      <c r="E70" s="44" t="s">
        <v>71</v>
      </c>
      <c r="F70" s="160"/>
      <c r="G70" s="44"/>
      <c r="H70" s="44"/>
    </row>
    <row r="71" spans="1:17" hidden="1" x14ac:dyDescent="0.2">
      <c r="A71" s="44" t="s">
        <v>72</v>
      </c>
      <c r="B71" s="44"/>
      <c r="C71" s="44"/>
      <c r="D71" s="173">
        <v>2.5000000000000001E-2</v>
      </c>
      <c r="E71" s="44"/>
      <c r="F71" s="160"/>
      <c r="G71" s="44"/>
      <c r="H71" s="44"/>
    </row>
    <row r="72" spans="1:17" hidden="1" x14ac:dyDescent="0.2">
      <c r="A72" s="44" t="s">
        <v>57</v>
      </c>
      <c r="B72" s="44"/>
      <c r="C72" s="44"/>
      <c r="D72" s="44">
        <f>D71*D70</f>
        <v>0</v>
      </c>
      <c r="E72" s="44" t="s">
        <v>71</v>
      </c>
      <c r="F72" s="160"/>
      <c r="G72" s="44"/>
      <c r="H72" s="70"/>
    </row>
    <row r="73" spans="1:17" hidden="1" x14ac:dyDescent="0.2">
      <c r="A73" s="44"/>
      <c r="B73" s="44"/>
      <c r="C73" s="44"/>
      <c r="D73" s="44"/>
      <c r="E73" s="44"/>
      <c r="F73" s="160"/>
      <c r="G73" s="44"/>
      <c r="H73" s="44"/>
    </row>
    <row r="74" spans="1:17" hidden="1" x14ac:dyDescent="0.2">
      <c r="A74" s="122" t="s">
        <v>192</v>
      </c>
      <c r="B74" s="122"/>
      <c r="C74" s="122"/>
      <c r="D74" s="122">
        <f>D70+D72</f>
        <v>0</v>
      </c>
      <c r="E74" s="122" t="s">
        <v>131</v>
      </c>
      <c r="F74" s="165"/>
      <c r="G74" s="122"/>
      <c r="H74" s="44"/>
    </row>
    <row r="75" spans="1:17" hidden="1" x14ac:dyDescent="0.2">
      <c r="A75" s="44"/>
      <c r="B75" s="44"/>
      <c r="C75" s="44"/>
      <c r="D75" s="44"/>
      <c r="E75" s="44"/>
      <c r="F75" s="160"/>
      <c r="G75" s="44"/>
      <c r="H75" s="44"/>
    </row>
    <row r="76" spans="1:17" x14ac:dyDescent="0.2">
      <c r="A76" s="119" t="s">
        <v>568</v>
      </c>
      <c r="B76" s="44"/>
      <c r="C76" s="44"/>
      <c r="D76" s="44"/>
      <c r="E76" s="44"/>
      <c r="F76" s="160"/>
      <c r="G76" s="44"/>
      <c r="H76" s="44"/>
    </row>
    <row r="77" spans="1:17" x14ac:dyDescent="0.2">
      <c r="A77" s="119"/>
      <c r="B77" s="168"/>
      <c r="C77" s="168"/>
      <c r="D77" s="44"/>
      <c r="E77" s="44"/>
      <c r="F77" s="160"/>
      <c r="G77" s="44"/>
      <c r="H77" s="44"/>
    </row>
    <row r="78" spans="1:17" x14ac:dyDescent="0.2">
      <c r="A78" s="44" t="s">
        <v>68</v>
      </c>
      <c r="B78" s="44"/>
      <c r="C78" s="44"/>
      <c r="D78" s="44">
        <f>D23</f>
        <v>131464.16277576066</v>
      </c>
      <c r="E78" s="44" t="s">
        <v>37</v>
      </c>
      <c r="F78" s="160"/>
      <c r="G78" s="44"/>
      <c r="H78" s="44"/>
      <c r="I78" s="69"/>
    </row>
    <row r="79" spans="1:17" x14ac:dyDescent="0.2">
      <c r="A79" s="44" t="s">
        <v>172</v>
      </c>
      <c r="B79" s="44"/>
      <c r="C79" s="44"/>
      <c r="D79" s="44">
        <f>+D33</f>
        <v>6697.95</v>
      </c>
      <c r="E79" s="44" t="s">
        <v>37</v>
      </c>
      <c r="F79" s="160"/>
      <c r="G79" s="44"/>
      <c r="H79" s="44"/>
      <c r="I79" s="69"/>
    </row>
    <row r="80" spans="1:17" x14ac:dyDescent="0.2">
      <c r="A80" s="44" t="s">
        <v>67</v>
      </c>
      <c r="B80" s="44"/>
      <c r="C80" s="44"/>
      <c r="D80" s="44">
        <f>D41</f>
        <v>1349.0633333333335</v>
      </c>
      <c r="E80" s="44" t="s">
        <v>37</v>
      </c>
      <c r="F80" s="160"/>
      <c r="G80" s="44"/>
      <c r="H80" s="44"/>
      <c r="I80" s="69"/>
    </row>
    <row r="81" spans="1:17" x14ac:dyDescent="0.2">
      <c r="A81" s="44" t="s">
        <v>519</v>
      </c>
      <c r="B81" s="44"/>
      <c r="C81" s="44"/>
      <c r="D81" s="44">
        <f>D63</f>
        <v>0</v>
      </c>
      <c r="E81" s="44" t="s">
        <v>37</v>
      </c>
      <c r="F81" s="160"/>
      <c r="G81" s="44"/>
      <c r="H81" s="44"/>
      <c r="I81" s="69"/>
      <c r="J81" s="69"/>
    </row>
    <row r="82" spans="1:17" x14ac:dyDescent="0.2">
      <c r="A82" s="44"/>
      <c r="B82" s="44"/>
      <c r="C82" s="44"/>
      <c r="D82" s="44"/>
      <c r="E82" s="44"/>
      <c r="F82" s="160"/>
      <c r="G82" s="44"/>
      <c r="H82" s="44"/>
    </row>
    <row r="83" spans="1:17" x14ac:dyDescent="0.2">
      <c r="A83" s="122" t="s">
        <v>193</v>
      </c>
      <c r="B83" s="122"/>
      <c r="C83" s="122"/>
      <c r="D83" s="122">
        <f>SUM(D78:D81)</f>
        <v>139511.176109094</v>
      </c>
      <c r="E83" s="122" t="s">
        <v>131</v>
      </c>
      <c r="F83" s="165"/>
      <c r="G83" s="122"/>
      <c r="H83" s="44"/>
    </row>
    <row r="84" spans="1:17" x14ac:dyDescent="0.2">
      <c r="A84" s="44"/>
      <c r="B84" s="44"/>
      <c r="C84" s="44"/>
      <c r="D84" s="44"/>
      <c r="E84" s="44"/>
      <c r="F84" s="160"/>
      <c r="G84" s="44"/>
      <c r="I84" s="157"/>
      <c r="K84" s="69"/>
    </row>
    <row r="85" spans="1:17" s="103" customFormat="1" x14ac:dyDescent="0.2">
      <c r="A85" s="122" t="s">
        <v>391</v>
      </c>
      <c r="B85" s="176">
        <f>BDI!C12/100</f>
        <v>0.29712344612244879</v>
      </c>
      <c r="C85" s="122"/>
      <c r="D85" s="165">
        <f>D87-D83</f>
        <v>41452.041418129869</v>
      </c>
      <c r="E85" s="122" t="s">
        <v>131</v>
      </c>
      <c r="F85" s="165"/>
      <c r="G85" s="122"/>
      <c r="H85" s="40"/>
      <c r="I85" s="69"/>
      <c r="O85" s="174"/>
      <c r="Q85" s="146"/>
    </row>
    <row r="86" spans="1:17" s="103" customFormat="1" x14ac:dyDescent="0.2">
      <c r="A86" s="44"/>
      <c r="B86" s="44"/>
      <c r="C86" s="44"/>
      <c r="D86" s="44"/>
      <c r="E86" s="44"/>
      <c r="F86" s="44"/>
      <c r="G86" s="44"/>
      <c r="H86" s="40"/>
      <c r="I86" s="69"/>
      <c r="O86" s="174"/>
      <c r="Q86" s="146"/>
    </row>
    <row r="87" spans="1:17" x14ac:dyDescent="0.2">
      <c r="A87" s="175" t="s">
        <v>392</v>
      </c>
      <c r="B87" s="130"/>
      <c r="C87" s="130"/>
      <c r="D87" s="122">
        <f>D83*BDI!C20</f>
        <v>180963.21752722387</v>
      </c>
      <c r="E87" s="122" t="s">
        <v>37</v>
      </c>
      <c r="F87" s="165"/>
      <c r="G87" s="122"/>
      <c r="H87" s="44"/>
      <c r="I87" s="177"/>
    </row>
    <row r="88" spans="1:17" x14ac:dyDescent="0.2">
      <c r="A88" s="131" t="s">
        <v>393</v>
      </c>
      <c r="B88" s="122"/>
      <c r="C88" s="122"/>
      <c r="D88" s="122">
        <v>1642.3063400000001</v>
      </c>
      <c r="E88" s="122" t="s">
        <v>45</v>
      </c>
      <c r="F88" s="165"/>
      <c r="G88" s="122"/>
      <c r="H88" s="44"/>
    </row>
    <row r="89" spans="1:17" x14ac:dyDescent="0.2">
      <c r="A89" s="131" t="s">
        <v>394</v>
      </c>
      <c r="B89" s="122"/>
      <c r="C89" s="122"/>
      <c r="D89" s="122">
        <f>ROUND(D87/D88,2)</f>
        <v>110.19</v>
      </c>
      <c r="E89" s="122" t="s">
        <v>86</v>
      </c>
      <c r="F89" s="165"/>
      <c r="G89" s="122"/>
      <c r="H89" s="132"/>
    </row>
    <row r="93" spans="1:17" x14ac:dyDescent="0.2">
      <c r="D93" s="44"/>
    </row>
    <row r="94" spans="1:17" x14ac:dyDescent="0.2">
      <c r="F94" s="160"/>
    </row>
    <row r="95" spans="1:17" x14ac:dyDescent="0.2">
      <c r="F95" s="160"/>
      <c r="H95" s="44"/>
    </row>
    <row r="97" spans="1:9" x14ac:dyDescent="0.2">
      <c r="A97" s="44" t="e">
        <f>A101/(1-#REF!)</f>
        <v>#REF!</v>
      </c>
      <c r="I97" s="69"/>
    </row>
    <row r="98" spans="1:9" x14ac:dyDescent="0.2">
      <c r="A98" s="44" t="e">
        <f>A97-A101</f>
        <v>#REF!</v>
      </c>
      <c r="B98" s="178"/>
      <c r="D98" s="44"/>
      <c r="F98" s="160"/>
      <c r="I98" s="69"/>
    </row>
    <row r="99" spans="1:9" x14ac:dyDescent="0.2">
      <c r="A99" s="44"/>
      <c r="B99" s="178"/>
      <c r="I99" s="69"/>
    </row>
    <row r="100" spans="1:9" x14ac:dyDescent="0.2">
      <c r="A100" s="44"/>
      <c r="F100" s="160"/>
      <c r="I100" s="69"/>
    </row>
    <row r="101" spans="1:9" x14ac:dyDescent="0.2">
      <c r="A101" s="44" t="e">
        <f>#REF!/(1-[2]Plan1!$A$24)</f>
        <v>#REF!</v>
      </c>
      <c r="B101" s="44"/>
      <c r="F101" s="160"/>
      <c r="I101" s="69"/>
    </row>
    <row r="102" spans="1:9" x14ac:dyDescent="0.2">
      <c r="A102" s="44" t="e">
        <f>A101-#REF!</f>
        <v>#REF!</v>
      </c>
      <c r="B102" s="44"/>
      <c r="D102" s="44"/>
      <c r="F102" s="160"/>
      <c r="I102" s="69"/>
    </row>
    <row r="103" spans="1:9" x14ac:dyDescent="0.2">
      <c r="A103" s="44"/>
      <c r="F103" s="160"/>
      <c r="I103" s="69"/>
    </row>
    <row r="104" spans="1:9" x14ac:dyDescent="0.2">
      <c r="A104" s="44"/>
      <c r="B104" s="44"/>
      <c r="F104" s="160"/>
      <c r="I104" s="69"/>
    </row>
    <row r="105" spans="1:9" x14ac:dyDescent="0.2">
      <c r="F105" s="160"/>
    </row>
    <row r="106" spans="1:9" x14ac:dyDescent="0.2">
      <c r="D106" s="44"/>
      <c r="F106" s="160"/>
    </row>
    <row r="108" spans="1:9" x14ac:dyDescent="0.2">
      <c r="D108" s="44"/>
    </row>
  </sheetData>
  <mergeCells count="3">
    <mergeCell ref="A7:E7"/>
    <mergeCell ref="A1:E1"/>
    <mergeCell ref="A2:E2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1"/>
  <dimension ref="A1:Q122"/>
  <sheetViews>
    <sheetView view="pageBreakPreview" topLeftCell="A6" zoomScaleSheetLayoutView="100" workbookViewId="0">
      <selection activeCell="E59" sqref="E59"/>
    </sheetView>
  </sheetViews>
  <sheetFormatPr defaultColWidth="12" defaultRowHeight="12.75" x14ac:dyDescent="0.2"/>
  <cols>
    <col min="1" max="1" width="50.83203125" style="13" customWidth="1"/>
    <col min="2" max="2" width="10.83203125" style="13" customWidth="1"/>
    <col min="3" max="3" width="5.83203125" style="13" customWidth="1"/>
    <col min="4" max="4" width="14.83203125" style="13" customWidth="1"/>
    <col min="5" max="5" width="10.83203125" style="13" customWidth="1"/>
    <col min="6" max="6" width="14.83203125" style="13" customWidth="1"/>
    <col min="7" max="7" width="10.83203125" style="13" customWidth="1"/>
    <col min="8" max="16384" width="12" style="11"/>
  </cols>
  <sheetData>
    <row r="1" spans="1:7" ht="18.75" hidden="1" x14ac:dyDescent="0.3">
      <c r="A1" s="338" t="s">
        <v>226</v>
      </c>
      <c r="B1" s="338"/>
      <c r="C1" s="338"/>
      <c r="D1" s="338"/>
      <c r="E1" s="338"/>
      <c r="F1" s="10"/>
      <c r="G1" s="11"/>
    </row>
    <row r="2" spans="1:7" ht="18" hidden="1" customHeight="1" x14ac:dyDescent="0.25">
      <c r="A2" s="338"/>
      <c r="B2" s="338"/>
      <c r="C2" s="338"/>
      <c r="D2" s="338"/>
      <c r="E2" s="338"/>
      <c r="F2" s="12"/>
      <c r="G2" s="11"/>
    </row>
    <row r="3" spans="1:7" hidden="1" x14ac:dyDescent="0.2">
      <c r="G3" s="11"/>
    </row>
    <row r="4" spans="1:7" hidden="1" x14ac:dyDescent="0.2">
      <c r="G4" s="11"/>
    </row>
    <row r="5" spans="1:7" hidden="1" x14ac:dyDescent="0.2">
      <c r="A5" s="14" t="s">
        <v>228</v>
      </c>
      <c r="D5" s="14" t="s">
        <v>222</v>
      </c>
      <c r="G5" s="11"/>
    </row>
    <row r="6" spans="1:7" x14ac:dyDescent="0.2">
      <c r="G6" s="11"/>
    </row>
    <row r="7" spans="1:7" x14ac:dyDescent="0.2">
      <c r="A7" s="339" t="s">
        <v>0</v>
      </c>
      <c r="B7" s="339"/>
      <c r="C7" s="339"/>
      <c r="D7" s="339"/>
      <c r="E7" s="339"/>
      <c r="F7" s="72"/>
      <c r="G7" s="11"/>
    </row>
    <row r="8" spans="1:7" x14ac:dyDescent="0.2">
      <c r="A8" s="16"/>
      <c r="B8" s="16"/>
      <c r="C8" s="16"/>
      <c r="D8" s="16"/>
      <c r="E8" s="16"/>
      <c r="F8" s="16"/>
      <c r="G8" s="16"/>
    </row>
    <row r="9" spans="1:7" x14ac:dyDescent="0.2">
      <c r="A9" s="73" t="s">
        <v>592</v>
      </c>
      <c r="B9" s="73"/>
      <c r="C9" s="73"/>
      <c r="D9" s="18"/>
      <c r="E9" s="74"/>
      <c r="F9" s="18"/>
      <c r="G9" s="18"/>
    </row>
    <row r="10" spans="1:7" x14ac:dyDescent="0.2">
      <c r="A10" s="73"/>
      <c r="B10" s="73"/>
      <c r="C10" s="73"/>
      <c r="D10" s="18"/>
      <c r="E10" s="18"/>
      <c r="F10" s="18"/>
      <c r="G10" s="18"/>
    </row>
    <row r="11" spans="1:7" s="36" customFormat="1" x14ac:dyDescent="0.2">
      <c r="A11" s="86" t="s">
        <v>34</v>
      </c>
      <c r="B11" s="86"/>
      <c r="C11" s="86"/>
      <c r="D11" s="18"/>
      <c r="E11" s="18"/>
      <c r="F11" s="18"/>
      <c r="G11" s="18"/>
    </row>
    <row r="12" spans="1:7" x14ac:dyDescent="0.2">
      <c r="A12" s="16"/>
      <c r="B12" s="16"/>
      <c r="C12" s="16"/>
      <c r="D12" s="91" t="s">
        <v>161</v>
      </c>
      <c r="E12" s="92"/>
      <c r="F12" s="91" t="s">
        <v>162</v>
      </c>
      <c r="G12" s="16"/>
    </row>
    <row r="13" spans="1:7" x14ac:dyDescent="0.2">
      <c r="A13" s="76" t="s">
        <v>88</v>
      </c>
      <c r="C13" s="76"/>
      <c r="D13" s="16">
        <f>18+3</f>
        <v>21</v>
      </c>
      <c r="E13" s="16" t="s">
        <v>35</v>
      </c>
      <c r="F13" s="16">
        <v>6</v>
      </c>
      <c r="G13" s="16" t="s">
        <v>35</v>
      </c>
    </row>
    <row r="14" spans="1:7" x14ac:dyDescent="0.2">
      <c r="A14" s="76" t="s">
        <v>482</v>
      </c>
      <c r="B14" s="65"/>
      <c r="C14" s="65"/>
      <c r="D14" s="16">
        <f>COLETOR!B32</f>
        <v>3512.0801999999999</v>
      </c>
      <c r="E14" s="65" t="s">
        <v>36</v>
      </c>
      <c r="F14" s="16">
        <f>+COLETOR!B59</f>
        <v>3820.9422199999999</v>
      </c>
      <c r="G14" s="65" t="s">
        <v>36</v>
      </c>
    </row>
    <row r="15" spans="1:7" x14ac:dyDescent="0.2">
      <c r="A15" s="76" t="s">
        <v>483</v>
      </c>
      <c r="B15" s="65"/>
      <c r="C15" s="65"/>
      <c r="D15" s="16">
        <f>ROUND(+D14*D13,2)</f>
        <v>73753.679999999993</v>
      </c>
      <c r="E15" s="16" t="s">
        <v>37</v>
      </c>
      <c r="F15" s="16">
        <f>ROUND(+F14*F13,2)</f>
        <v>22925.65</v>
      </c>
      <c r="G15" s="16" t="s">
        <v>37</v>
      </c>
    </row>
    <row r="16" spans="1:7" x14ac:dyDescent="0.2">
      <c r="A16" s="121" t="s">
        <v>481</v>
      </c>
      <c r="B16" s="65"/>
      <c r="C16" s="65"/>
      <c r="D16" s="16">
        <f>ROUND((((D13*(D14/220)*1.5)*4*4)+(D13*((D14/220)*2)*8*1)),2)</f>
        <v>13409.76</v>
      </c>
      <c r="E16" s="16" t="s">
        <v>37</v>
      </c>
      <c r="F16" s="16">
        <f>ROUND(((F13*(F14/220)*1.5)*4*4)+(F13*((F14/220)*2)*8*1),2)</f>
        <v>4168.3</v>
      </c>
      <c r="G16" s="16" t="s">
        <v>37</v>
      </c>
    </row>
    <row r="17" spans="1:7" x14ac:dyDescent="0.2">
      <c r="A17" s="76" t="s">
        <v>92</v>
      </c>
      <c r="B17" s="76"/>
      <c r="C17" s="76"/>
      <c r="D17" s="16">
        <f>ROUND(SUM(D15:D16),2)</f>
        <v>87163.44</v>
      </c>
      <c r="E17" s="16" t="s">
        <v>43</v>
      </c>
      <c r="F17" s="16">
        <f>ROUND(SUM(F15:F16),2)</f>
        <v>27093.95</v>
      </c>
      <c r="G17" s="16" t="s">
        <v>43</v>
      </c>
    </row>
    <row r="18" spans="1:7" x14ac:dyDescent="0.2">
      <c r="A18" s="65"/>
      <c r="B18" s="65"/>
      <c r="C18" s="65"/>
      <c r="D18" s="16"/>
      <c r="E18" s="16"/>
    </row>
    <row r="19" spans="1:7" x14ac:dyDescent="0.2">
      <c r="A19" s="65" t="s">
        <v>38</v>
      </c>
      <c r="B19" s="65"/>
      <c r="C19" s="65"/>
      <c r="D19" s="16">
        <v>1</v>
      </c>
      <c r="E19" s="16" t="s">
        <v>35</v>
      </c>
      <c r="F19" s="16"/>
      <c r="G19" s="16" t="s">
        <v>35</v>
      </c>
    </row>
    <row r="20" spans="1:7" x14ac:dyDescent="0.2">
      <c r="A20" s="16" t="s">
        <v>321</v>
      </c>
      <c r="B20" s="16"/>
      <c r="C20" s="16"/>
      <c r="D20" s="16">
        <f>'ENC I'!B32</f>
        <v>5896.6907724273269</v>
      </c>
      <c r="E20" s="16" t="s">
        <v>36</v>
      </c>
      <c r="F20" s="16">
        <f>'ENC I'!B59</f>
        <v>6317.4516010755824</v>
      </c>
      <c r="G20" s="65" t="s">
        <v>36</v>
      </c>
    </row>
    <row r="21" spans="1:7" x14ac:dyDescent="0.2">
      <c r="A21" s="16" t="s">
        <v>320</v>
      </c>
      <c r="B21" s="16"/>
      <c r="C21" s="16"/>
      <c r="D21" s="16">
        <f>ROUND(+D20*D19,2)</f>
        <v>5896.69</v>
      </c>
      <c r="E21" s="16" t="s">
        <v>37</v>
      </c>
      <c r="F21" s="16">
        <f>ROUND(+F20*F19,2)</f>
        <v>0</v>
      </c>
      <c r="G21" s="16" t="s">
        <v>37</v>
      </c>
    </row>
    <row r="22" spans="1:7" x14ac:dyDescent="0.2">
      <c r="A22" s="121" t="s">
        <v>481</v>
      </c>
      <c r="B22" s="65"/>
      <c r="C22" s="65"/>
      <c r="D22" s="16">
        <f>ROUND((((D19*(D20/220)*1.5)*4*4)+(D19*((D20/220)*2)*8*1)),2)</f>
        <v>1072.1300000000001</v>
      </c>
      <c r="E22" s="16" t="s">
        <v>37</v>
      </c>
      <c r="F22" s="16">
        <f>ROUND((((F19*(F19/220)*1.5)*4*4)+(F19*((F20/220)*2)*8*1)),2)</f>
        <v>0</v>
      </c>
      <c r="G22" s="16" t="s">
        <v>37</v>
      </c>
    </row>
    <row r="23" spans="1:7" x14ac:dyDescent="0.2">
      <c r="A23" s="16" t="s">
        <v>48</v>
      </c>
      <c r="B23" s="16"/>
      <c r="C23" s="16"/>
      <c r="D23" s="16">
        <f>ROUND(SUM(D21:D22),2)</f>
        <v>6968.82</v>
      </c>
      <c r="E23" s="16" t="s">
        <v>43</v>
      </c>
      <c r="F23" s="16">
        <f>ROUND(SUM(F21:F22),2)</f>
        <v>0</v>
      </c>
      <c r="G23" s="16" t="s">
        <v>43</v>
      </c>
    </row>
    <row r="24" spans="1:7" x14ac:dyDescent="0.2">
      <c r="A24" s="16"/>
      <c r="B24" s="16"/>
      <c r="C24" s="16"/>
      <c r="D24" s="16"/>
      <c r="E24" s="16"/>
      <c r="F24" s="16"/>
    </row>
    <row r="25" spans="1:7" x14ac:dyDescent="0.2">
      <c r="A25" s="65" t="s">
        <v>49</v>
      </c>
      <c r="B25" s="65"/>
      <c r="C25" s="65"/>
      <c r="D25" s="16">
        <f>6+1</f>
        <v>7</v>
      </c>
      <c r="E25" s="16" t="s">
        <v>35</v>
      </c>
      <c r="F25" s="16">
        <v>2</v>
      </c>
      <c r="G25" s="16" t="s">
        <v>35</v>
      </c>
    </row>
    <row r="26" spans="1:7" x14ac:dyDescent="0.2">
      <c r="A26" s="76" t="s">
        <v>484</v>
      </c>
      <c r="B26" s="65"/>
      <c r="C26" s="65"/>
      <c r="D26" s="16">
        <f>MOTORISTA!B32</f>
        <v>5407.0828585454556</v>
      </c>
      <c r="E26" s="16" t="s">
        <v>36</v>
      </c>
      <c r="F26" s="16">
        <f>+MOTORISTA!B58</f>
        <v>6029.6182158636366</v>
      </c>
      <c r="G26" s="65" t="s">
        <v>36</v>
      </c>
    </row>
    <row r="27" spans="1:7" x14ac:dyDescent="0.2">
      <c r="A27" s="76" t="s">
        <v>485</v>
      </c>
      <c r="B27" s="65"/>
      <c r="C27" s="65"/>
      <c r="D27" s="16">
        <f>ROUND(+D26*D25,2)</f>
        <v>37849.58</v>
      </c>
      <c r="E27" s="16" t="s">
        <v>37</v>
      </c>
      <c r="F27" s="16">
        <f>ROUND(+F26*F25,2)</f>
        <v>12059.24</v>
      </c>
      <c r="G27" s="16" t="s">
        <v>37</v>
      </c>
    </row>
    <row r="28" spans="1:7" x14ac:dyDescent="0.2">
      <c r="A28" s="121" t="s">
        <v>481</v>
      </c>
      <c r="B28" s="65"/>
      <c r="C28" s="65"/>
      <c r="D28" s="16">
        <f>ROUND((((D25*(D26/220)*1.5)*4*4)+(D25*((D26/220)*2)*8*1)),2)</f>
        <v>6881.74</v>
      </c>
      <c r="E28" s="16" t="s">
        <v>37</v>
      </c>
      <c r="F28" s="16">
        <f>ROUND((((F25*(F26/220)*1.5)*4*4)+(F25*((F26/220)*2)*8*1)),2)</f>
        <v>2192.59</v>
      </c>
      <c r="G28" s="16" t="s">
        <v>37</v>
      </c>
    </row>
    <row r="29" spans="1:7" x14ac:dyDescent="0.2">
      <c r="A29" s="76" t="s">
        <v>52</v>
      </c>
      <c r="B29" s="76"/>
      <c r="C29" s="76"/>
      <c r="D29" s="16">
        <f>ROUND(SUM(D27:D28),2)</f>
        <v>44731.32</v>
      </c>
      <c r="E29" s="16" t="s">
        <v>43</v>
      </c>
      <c r="F29" s="16">
        <f>ROUND(SUM(F27:F28),2)</f>
        <v>14251.83</v>
      </c>
      <c r="G29" s="16" t="s">
        <v>43</v>
      </c>
    </row>
    <row r="30" spans="1:7" x14ac:dyDescent="0.2">
      <c r="A30" s="16"/>
      <c r="B30" s="16"/>
      <c r="C30" s="16"/>
      <c r="D30" s="16"/>
      <c r="E30" s="16"/>
      <c r="G30" s="16"/>
    </row>
    <row r="31" spans="1:7" x14ac:dyDescent="0.2">
      <c r="A31" s="33" t="s">
        <v>189</v>
      </c>
      <c r="B31" s="33"/>
      <c r="C31" s="33"/>
      <c r="D31" s="33">
        <f>D17+D23+D29+F17+F23+F29</f>
        <v>180209.36000000002</v>
      </c>
      <c r="E31" s="33" t="s">
        <v>131</v>
      </c>
      <c r="G31" s="16"/>
    </row>
    <row r="32" spans="1:7" x14ac:dyDescent="0.2">
      <c r="A32" s="16"/>
      <c r="B32" s="16"/>
      <c r="C32" s="16"/>
      <c r="D32" s="16"/>
      <c r="E32" s="16"/>
      <c r="G32" s="16"/>
    </row>
    <row r="33" spans="1:10" x14ac:dyDescent="0.2">
      <c r="A33" s="93" t="s">
        <v>87</v>
      </c>
      <c r="B33" s="81"/>
      <c r="C33" s="81"/>
      <c r="D33" s="18"/>
      <c r="E33" s="16"/>
      <c r="F33" s="16"/>
      <c r="G33" s="16"/>
    </row>
    <row r="34" spans="1:10" x14ac:dyDescent="0.2">
      <c r="A34" s="16"/>
      <c r="B34" s="16"/>
      <c r="C34" s="16"/>
      <c r="D34" s="91" t="s">
        <v>442</v>
      </c>
      <c r="E34" s="91"/>
      <c r="F34" s="91" t="s">
        <v>441</v>
      </c>
      <c r="G34" s="16"/>
    </row>
    <row r="35" spans="1:10" hidden="1" x14ac:dyDescent="0.2">
      <c r="A35" s="76" t="s">
        <v>295</v>
      </c>
      <c r="B35" s="76"/>
      <c r="C35" s="76"/>
      <c r="D35" s="16"/>
      <c r="E35" s="16" t="s">
        <v>35</v>
      </c>
      <c r="F35" s="16" t="s">
        <v>8</v>
      </c>
      <c r="G35" s="16"/>
    </row>
    <row r="36" spans="1:10" hidden="1" x14ac:dyDescent="0.2">
      <c r="A36" s="16" t="s">
        <v>53</v>
      </c>
      <c r="B36" s="16"/>
      <c r="C36" s="16"/>
      <c r="D36" s="16"/>
      <c r="E36" s="16" t="s">
        <v>36</v>
      </c>
      <c r="F36" s="16"/>
      <c r="G36" s="16"/>
    </row>
    <row r="37" spans="1:10" hidden="1" x14ac:dyDescent="0.2">
      <c r="A37" s="65" t="s">
        <v>297</v>
      </c>
      <c r="B37" s="65"/>
      <c r="C37" s="65"/>
      <c r="D37" s="16">
        <f>ROUND(+D36*D35,2)</f>
        <v>0</v>
      </c>
      <c r="E37" s="16" t="s">
        <v>37</v>
      </c>
      <c r="F37" s="16"/>
      <c r="G37" s="16"/>
    </row>
    <row r="38" spans="1:10" hidden="1" x14ac:dyDescent="0.2">
      <c r="A38" s="65"/>
      <c r="B38" s="65"/>
      <c r="C38" s="65"/>
      <c r="D38" s="16"/>
      <c r="E38" s="16"/>
      <c r="F38" s="16"/>
      <c r="G38" s="16"/>
    </row>
    <row r="39" spans="1:10" hidden="1" x14ac:dyDescent="0.2">
      <c r="A39" s="76" t="s">
        <v>296</v>
      </c>
      <c r="B39" s="76"/>
      <c r="C39" s="76"/>
      <c r="D39" s="16"/>
      <c r="E39" s="16" t="s">
        <v>35</v>
      </c>
      <c r="F39" s="16"/>
      <c r="G39" s="16"/>
    </row>
    <row r="40" spans="1:10" hidden="1" x14ac:dyDescent="0.2">
      <c r="A40" s="16" t="s">
        <v>53</v>
      </c>
      <c r="B40" s="16"/>
      <c r="C40" s="16"/>
      <c r="D40" s="16"/>
      <c r="E40" s="16" t="s">
        <v>36</v>
      </c>
      <c r="F40" s="16"/>
      <c r="G40" s="16"/>
      <c r="J40" s="11">
        <v>308</v>
      </c>
    </row>
    <row r="41" spans="1:10" hidden="1" x14ac:dyDescent="0.2">
      <c r="A41" s="65" t="s">
        <v>298</v>
      </c>
      <c r="B41" s="65"/>
      <c r="C41" s="65"/>
      <c r="D41" s="16">
        <f>ROUND(+D40*D39,2)</f>
        <v>0</v>
      </c>
      <c r="E41" s="16" t="s">
        <v>37</v>
      </c>
      <c r="F41" s="16"/>
      <c r="G41" s="16"/>
      <c r="J41" s="11">
        <v>20</v>
      </c>
    </row>
    <row r="42" spans="1:10" hidden="1" x14ac:dyDescent="0.2">
      <c r="A42" s="65"/>
      <c r="B42" s="65"/>
      <c r="C42" s="65"/>
      <c r="D42" s="16"/>
      <c r="E42" s="16"/>
      <c r="F42" s="16"/>
      <c r="G42" s="16"/>
    </row>
    <row r="43" spans="1:10" x14ac:dyDescent="0.2">
      <c r="A43" s="76" t="s">
        <v>600</v>
      </c>
      <c r="B43" s="76"/>
      <c r="C43" s="76"/>
      <c r="D43" s="16"/>
      <c r="E43" s="16" t="s">
        <v>35</v>
      </c>
      <c r="F43" s="16"/>
      <c r="G43" s="16"/>
    </row>
    <row r="44" spans="1:10" x14ac:dyDescent="0.2">
      <c r="A44" s="16" t="s">
        <v>329</v>
      </c>
      <c r="B44" s="16"/>
      <c r="C44" s="16"/>
      <c r="D44" s="75"/>
      <c r="E44" s="16" t="s">
        <v>36</v>
      </c>
      <c r="F44" s="16"/>
      <c r="G44" s="16"/>
    </row>
    <row r="45" spans="1:10" x14ac:dyDescent="0.2">
      <c r="A45" s="76" t="s">
        <v>93</v>
      </c>
      <c r="B45" s="76"/>
      <c r="C45" s="76"/>
      <c r="D45" s="75"/>
      <c r="E45" s="16" t="s">
        <v>37</v>
      </c>
      <c r="F45" s="16"/>
      <c r="G45" s="16"/>
    </row>
    <row r="46" spans="1:10" x14ac:dyDescent="0.2">
      <c r="A46" s="76"/>
      <c r="B46" s="76"/>
      <c r="C46" s="76"/>
      <c r="D46" s="75"/>
      <c r="E46" s="16"/>
      <c r="F46" s="16"/>
      <c r="G46" s="16"/>
    </row>
    <row r="47" spans="1:10" x14ac:dyDescent="0.2">
      <c r="A47" s="76" t="s">
        <v>173</v>
      </c>
      <c r="B47" s="76"/>
      <c r="C47" s="76"/>
      <c r="D47" s="16">
        <v>6</v>
      </c>
      <c r="E47" s="16" t="s">
        <v>35</v>
      </c>
      <c r="F47" s="16">
        <v>2</v>
      </c>
      <c r="G47" s="16" t="s">
        <v>35</v>
      </c>
    </row>
    <row r="48" spans="1:10" x14ac:dyDescent="0.2">
      <c r="A48" s="16" t="s">
        <v>329</v>
      </c>
      <c r="B48" s="16"/>
      <c r="C48" s="16"/>
      <c r="D48" s="16">
        <f>'COMPACTADOR 15 m3'!B61</f>
        <v>29080.237697504497</v>
      </c>
      <c r="E48" s="16" t="s">
        <v>36</v>
      </c>
      <c r="F48" s="16">
        <f>'COMP NOTURNO'!B63</f>
        <v>3605.0990162751991</v>
      </c>
      <c r="G48" s="16" t="s">
        <v>36</v>
      </c>
    </row>
    <row r="49" spans="1:7" x14ac:dyDescent="0.2">
      <c r="A49" s="76" t="s">
        <v>93</v>
      </c>
      <c r="B49" s="76"/>
      <c r="C49" s="76"/>
      <c r="D49" s="16">
        <f>ROUND(+D48*D47,2)</f>
        <v>174481.43</v>
      </c>
      <c r="E49" s="16" t="s">
        <v>37</v>
      </c>
      <c r="F49" s="16">
        <f>F47*F48</f>
        <v>7210.1980325503982</v>
      </c>
      <c r="G49" s="16" t="s">
        <v>37</v>
      </c>
    </row>
    <row r="50" spans="1:7" x14ac:dyDescent="0.2">
      <c r="A50" s="16"/>
      <c r="B50" s="16"/>
      <c r="C50" s="16"/>
      <c r="D50" s="16"/>
      <c r="E50" s="16"/>
      <c r="F50" s="16"/>
      <c r="G50" s="16"/>
    </row>
    <row r="51" spans="1:7" x14ac:dyDescent="0.2">
      <c r="A51" s="76" t="s">
        <v>173</v>
      </c>
      <c r="B51" s="76"/>
      <c r="C51" s="76"/>
      <c r="D51" s="16">
        <v>1</v>
      </c>
      <c r="E51" s="16" t="s">
        <v>35</v>
      </c>
      <c r="F51" s="16"/>
      <c r="G51" s="16"/>
    </row>
    <row r="52" spans="1:7" x14ac:dyDescent="0.2">
      <c r="A52" s="16" t="s">
        <v>329</v>
      </c>
      <c r="B52" s="16"/>
      <c r="C52" s="16"/>
      <c r="D52" s="16">
        <f>reserva!B61</f>
        <v>26378.147705818097</v>
      </c>
      <c r="E52" s="16" t="s">
        <v>36</v>
      </c>
      <c r="F52" s="16"/>
      <c r="G52" s="16"/>
    </row>
    <row r="53" spans="1:7" x14ac:dyDescent="0.2">
      <c r="A53" s="76" t="s">
        <v>93</v>
      </c>
      <c r="B53" s="76"/>
      <c r="C53" s="76"/>
      <c r="D53" s="16">
        <f>D51*D52</f>
        <v>26378.147705818097</v>
      </c>
      <c r="E53" s="16" t="s">
        <v>37</v>
      </c>
      <c r="F53" s="16"/>
      <c r="G53" s="16"/>
    </row>
    <row r="54" spans="1:7" x14ac:dyDescent="0.2">
      <c r="A54" s="76"/>
      <c r="B54" s="76"/>
      <c r="C54" s="76"/>
      <c r="D54" s="16"/>
      <c r="E54" s="16"/>
      <c r="F54" s="16"/>
      <c r="G54" s="16"/>
    </row>
    <row r="55" spans="1:7" x14ac:dyDescent="0.2">
      <c r="A55" s="33" t="s">
        <v>196</v>
      </c>
      <c r="B55" s="33"/>
      <c r="C55" s="33"/>
      <c r="D55" s="33">
        <f>ROUND(D37+D41+D45+D49+D53+F49,2)</f>
        <v>208069.78</v>
      </c>
      <c r="E55" s="33" t="s">
        <v>131</v>
      </c>
      <c r="F55" s="16"/>
      <c r="G55" s="16"/>
    </row>
    <row r="56" spans="1:7" x14ac:dyDescent="0.2">
      <c r="A56" s="16"/>
      <c r="B56" s="16"/>
      <c r="C56" s="16"/>
      <c r="D56" s="16"/>
      <c r="E56" s="16"/>
      <c r="F56" s="16"/>
      <c r="G56" s="16"/>
    </row>
    <row r="57" spans="1:7" x14ac:dyDescent="0.2">
      <c r="A57" s="93" t="s">
        <v>163</v>
      </c>
      <c r="B57" s="81"/>
      <c r="C57" s="81"/>
      <c r="D57" s="82"/>
      <c r="E57" s="16"/>
      <c r="F57" s="16"/>
      <c r="G57" s="11"/>
    </row>
    <row r="58" spans="1:7" x14ac:dyDescent="0.2">
      <c r="A58" s="81"/>
      <c r="B58" s="81"/>
      <c r="C58" s="81"/>
      <c r="D58" s="82"/>
      <c r="E58" s="16"/>
      <c r="F58" s="16"/>
      <c r="G58" s="11"/>
    </row>
    <row r="59" spans="1:7" x14ac:dyDescent="0.2">
      <c r="A59" s="23" t="s">
        <v>113</v>
      </c>
      <c r="B59" s="226">
        <v>7</v>
      </c>
      <c r="C59" s="80" t="s">
        <v>114</v>
      </c>
      <c r="D59" s="16">
        <f>ROUND(B59*PREÇOS!J6,2)</f>
        <v>101.27</v>
      </c>
      <c r="E59" s="16" t="s">
        <v>37</v>
      </c>
      <c r="F59" s="16"/>
      <c r="G59" s="16"/>
    </row>
    <row r="60" spans="1:7" x14ac:dyDescent="0.2">
      <c r="A60" s="16" t="s">
        <v>98</v>
      </c>
      <c r="B60" s="226">
        <v>14</v>
      </c>
      <c r="C60" s="80" t="s">
        <v>114</v>
      </c>
      <c r="D60" s="16">
        <f>ROUND(B60*PREÇOS!J5,2)</f>
        <v>1127</v>
      </c>
      <c r="E60" s="16" t="s">
        <v>37</v>
      </c>
      <c r="F60" s="16"/>
      <c r="G60" s="16"/>
    </row>
    <row r="61" spans="1:7" x14ac:dyDescent="0.2">
      <c r="A61" s="16" t="s">
        <v>100</v>
      </c>
      <c r="B61" s="226">
        <v>7</v>
      </c>
      <c r="C61" s="80" t="s">
        <v>114</v>
      </c>
      <c r="D61" s="16">
        <f>ROUND(B61*PREÇOS!J8,2)</f>
        <v>227.12</v>
      </c>
      <c r="E61" s="16" t="s">
        <v>37</v>
      </c>
      <c r="F61" s="16"/>
      <c r="G61" s="16"/>
    </row>
    <row r="62" spans="1:7" x14ac:dyDescent="0.2">
      <c r="A62" s="16" t="s">
        <v>118</v>
      </c>
      <c r="B62" s="226">
        <v>7</v>
      </c>
      <c r="C62" s="80" t="s">
        <v>114</v>
      </c>
      <c r="D62" s="16">
        <f>ROUND(B62*PREÇOS!J7,2)</f>
        <v>163.1</v>
      </c>
      <c r="E62" s="16" t="s">
        <v>37</v>
      </c>
      <c r="F62" s="16"/>
      <c r="G62" s="16"/>
    </row>
    <row r="63" spans="1:7" x14ac:dyDescent="0.2">
      <c r="A63" s="16" t="s">
        <v>102</v>
      </c>
      <c r="B63" s="226">
        <v>14</v>
      </c>
      <c r="C63" s="80" t="s">
        <v>114</v>
      </c>
      <c r="D63" s="16">
        <f>ROUND(B63*PREÇOS!J12,2)</f>
        <v>87.77</v>
      </c>
      <c r="E63" s="16" t="s">
        <v>37</v>
      </c>
      <c r="F63" s="16"/>
      <c r="G63" s="16"/>
    </row>
    <row r="64" spans="1:7" x14ac:dyDescent="0.2">
      <c r="A64" s="16" t="s">
        <v>126</v>
      </c>
      <c r="B64" s="226">
        <f>0*($D$47+$D$43)</f>
        <v>0</v>
      </c>
      <c r="C64" s="80" t="s">
        <v>114</v>
      </c>
      <c r="D64" s="16">
        <f>ROUND(B64*PREÇOS!J14,2)</f>
        <v>0</v>
      </c>
      <c r="E64" s="16" t="s">
        <v>37</v>
      </c>
      <c r="F64" s="16"/>
      <c r="G64" s="16"/>
    </row>
    <row r="65" spans="1:17" x14ac:dyDescent="0.2">
      <c r="A65" s="16" t="s">
        <v>120</v>
      </c>
      <c r="B65" s="226">
        <f>0*($D$47+$D$43)</f>
        <v>0</v>
      </c>
      <c r="C65" s="80" t="s">
        <v>114</v>
      </c>
      <c r="D65" s="16">
        <f>ROUND(B65*PREÇOS!J10,2)</f>
        <v>0</v>
      </c>
      <c r="E65" s="16" t="s">
        <v>37</v>
      </c>
      <c r="F65" s="16"/>
      <c r="G65" s="16"/>
    </row>
    <row r="66" spans="1:17" x14ac:dyDescent="0.2">
      <c r="A66" s="44" t="s">
        <v>493</v>
      </c>
      <c r="B66" s="222">
        <f>(D13+F13+D19+F19+D25+F25)*2*26</f>
        <v>1924</v>
      </c>
      <c r="C66" s="125" t="s">
        <v>494</v>
      </c>
      <c r="D66" s="44">
        <f>B66*PREÇOS!J29</f>
        <v>673.4</v>
      </c>
      <c r="E66" s="44" t="s">
        <v>43</v>
      </c>
      <c r="F66" s="16"/>
      <c r="G66" s="16"/>
    </row>
    <row r="67" spans="1:17" x14ac:dyDescent="0.2">
      <c r="A67" s="44"/>
      <c r="B67" s="222"/>
      <c r="C67" s="125"/>
      <c r="D67" s="44"/>
      <c r="E67" s="44"/>
      <c r="F67" s="16"/>
      <c r="G67" s="16"/>
    </row>
    <row r="68" spans="1:17" x14ac:dyDescent="0.2">
      <c r="A68" s="33" t="s">
        <v>197</v>
      </c>
      <c r="B68" s="33"/>
      <c r="C68" s="33"/>
      <c r="D68" s="33">
        <f>SUM(D59:D66)</f>
        <v>2379.66</v>
      </c>
      <c r="E68" s="33" t="s">
        <v>131</v>
      </c>
      <c r="F68" s="16"/>
      <c r="G68" s="16"/>
    </row>
    <row r="69" spans="1:17" hidden="1" x14ac:dyDescent="0.2">
      <c r="A69" s="16" t="s">
        <v>72</v>
      </c>
      <c r="B69" s="16"/>
      <c r="C69" s="16"/>
      <c r="D69" s="85"/>
      <c r="E69" s="16"/>
      <c r="F69" s="16"/>
      <c r="G69" s="16"/>
    </row>
    <row r="70" spans="1:17" hidden="1" x14ac:dyDescent="0.2">
      <c r="A70" s="16" t="s">
        <v>57</v>
      </c>
      <c r="B70" s="16"/>
      <c r="C70" s="16"/>
      <c r="D70" s="16" t="e">
        <f>ROUND(D69*#REF!,2)</f>
        <v>#REF!</v>
      </c>
      <c r="E70" s="16" t="s">
        <v>71</v>
      </c>
      <c r="F70" s="16"/>
      <c r="G70" s="16"/>
    </row>
    <row r="71" spans="1:17" hidden="1" x14ac:dyDescent="0.2">
      <c r="A71" s="16"/>
      <c r="B71" s="79"/>
      <c r="C71" s="80"/>
      <c r="D71" s="16"/>
      <c r="E71" s="16"/>
      <c r="F71" s="16"/>
      <c r="G71" s="16"/>
    </row>
    <row r="72" spans="1:17" x14ac:dyDescent="0.2">
      <c r="A72" s="16"/>
      <c r="B72" s="79"/>
      <c r="C72" s="80"/>
      <c r="D72" s="16"/>
      <c r="E72" s="16"/>
      <c r="F72" s="16"/>
      <c r="G72" s="16"/>
    </row>
    <row r="73" spans="1:17" s="132" customFormat="1" x14ac:dyDescent="0.2">
      <c r="A73" s="127" t="s">
        <v>491</v>
      </c>
      <c r="B73" s="44"/>
      <c r="C73" s="44"/>
      <c r="D73" s="44"/>
      <c r="E73" s="44"/>
      <c r="F73" s="44"/>
      <c r="G73" s="44"/>
      <c r="H73" s="44"/>
      <c r="I73" s="44"/>
      <c r="O73" s="157"/>
      <c r="Q73" s="69"/>
    </row>
    <row r="74" spans="1:17" s="132" customFormat="1" x14ac:dyDescent="0.2">
      <c r="A74" s="127"/>
      <c r="B74" s="44"/>
      <c r="C74" s="44"/>
      <c r="D74" s="44"/>
      <c r="E74" s="44"/>
      <c r="F74" s="44"/>
      <c r="G74" s="44"/>
      <c r="H74" s="44"/>
      <c r="I74" s="44"/>
      <c r="O74" s="157"/>
      <c r="Q74" s="69"/>
    </row>
    <row r="75" spans="1:17" s="132" customFormat="1" x14ac:dyDescent="0.2">
      <c r="A75" s="225" t="s">
        <v>499</v>
      </c>
      <c r="B75" s="44"/>
      <c r="C75" s="44"/>
      <c r="D75" s="44"/>
      <c r="E75" s="44"/>
      <c r="F75" s="44"/>
      <c r="G75" s="44"/>
      <c r="H75" s="44"/>
      <c r="I75" s="44"/>
      <c r="O75" s="157"/>
      <c r="Q75" s="69"/>
    </row>
    <row r="76" spans="1:17" s="132" customFormat="1" x14ac:dyDescent="0.2">
      <c r="A76" s="225" t="s">
        <v>497</v>
      </c>
      <c r="B76" s="44"/>
      <c r="C76" s="44"/>
      <c r="D76" s="44">
        <v>110</v>
      </c>
      <c r="E76" s="44" t="s">
        <v>496</v>
      </c>
      <c r="F76" s="44"/>
      <c r="G76" s="44"/>
      <c r="H76" s="44"/>
      <c r="I76" s="44"/>
      <c r="O76" s="157"/>
      <c r="Q76" s="69"/>
    </row>
    <row r="77" spans="1:17" s="132" customFormat="1" x14ac:dyDescent="0.2">
      <c r="A77" s="225" t="s">
        <v>498</v>
      </c>
      <c r="B77" s="44"/>
      <c r="C77" s="44"/>
      <c r="D77" s="44">
        <v>110</v>
      </c>
      <c r="E77" s="44" t="s">
        <v>506</v>
      </c>
      <c r="F77" s="44"/>
      <c r="G77" s="44"/>
      <c r="H77" s="44"/>
      <c r="I77" s="44"/>
      <c r="O77" s="157"/>
      <c r="Q77" s="69"/>
    </row>
    <row r="78" spans="1:17" s="132" customFormat="1" x14ac:dyDescent="0.2">
      <c r="A78" s="225"/>
      <c r="B78" s="44"/>
      <c r="C78" s="44"/>
      <c r="D78" s="44"/>
      <c r="E78" s="44"/>
      <c r="F78" s="44"/>
      <c r="G78" s="44"/>
      <c r="H78" s="44"/>
      <c r="I78" s="44"/>
      <c r="O78" s="157"/>
      <c r="Q78" s="69"/>
    </row>
    <row r="79" spans="1:17" s="132" customFormat="1" x14ac:dyDescent="0.2">
      <c r="A79" s="225" t="s">
        <v>500</v>
      </c>
      <c r="B79" s="44"/>
      <c r="C79" s="44"/>
      <c r="D79" s="44"/>
      <c r="E79" s="44"/>
      <c r="F79" s="44"/>
      <c r="G79" s="44"/>
      <c r="H79" s="44"/>
      <c r="I79" s="44"/>
      <c r="O79" s="157"/>
      <c r="Q79" s="69"/>
    </row>
    <row r="80" spans="1:17" s="132" customFormat="1" x14ac:dyDescent="0.2">
      <c r="A80" s="225" t="s">
        <v>501</v>
      </c>
      <c r="B80" s="44"/>
      <c r="C80" s="44"/>
      <c r="D80" s="44">
        <v>800</v>
      </c>
      <c r="E80" s="44" t="s">
        <v>505</v>
      </c>
      <c r="F80" s="44"/>
      <c r="G80" s="44"/>
      <c r="H80" s="44"/>
      <c r="I80" s="44"/>
      <c r="O80" s="157"/>
      <c r="Q80" s="69"/>
    </row>
    <row r="81" spans="1:17" s="132" customFormat="1" x14ac:dyDescent="0.2">
      <c r="A81" s="225" t="s">
        <v>502</v>
      </c>
      <c r="B81" s="44"/>
      <c r="C81" s="44"/>
      <c r="D81" s="44">
        <v>60</v>
      </c>
      <c r="E81" s="44" t="s">
        <v>506</v>
      </c>
      <c r="F81" s="44"/>
      <c r="G81" s="44"/>
      <c r="H81" s="44"/>
      <c r="I81" s="44"/>
      <c r="O81" s="157"/>
      <c r="Q81" s="69"/>
    </row>
    <row r="82" spans="1:17" s="132" customFormat="1" x14ac:dyDescent="0.2">
      <c r="A82" s="225" t="s">
        <v>503</v>
      </c>
      <c r="B82" s="44"/>
      <c r="C82" s="44"/>
      <c r="D82" s="44">
        <v>30</v>
      </c>
      <c r="E82" s="44" t="s">
        <v>55</v>
      </c>
      <c r="F82" s="44"/>
      <c r="G82" s="44"/>
      <c r="H82" s="44"/>
      <c r="I82" s="44"/>
      <c r="O82" s="157"/>
      <c r="Q82" s="69"/>
    </row>
    <row r="83" spans="1:17" s="132" customFormat="1" x14ac:dyDescent="0.2">
      <c r="A83" s="44" t="s">
        <v>504</v>
      </c>
      <c r="B83" s="44"/>
      <c r="C83" s="44"/>
      <c r="D83" s="44">
        <f>(D80/D82)+D81</f>
        <v>86.666666666666671</v>
      </c>
      <c r="E83" s="44" t="s">
        <v>507</v>
      </c>
      <c r="F83" s="44"/>
      <c r="G83" s="44"/>
      <c r="H83" s="44"/>
      <c r="I83" s="44"/>
      <c r="O83" s="157"/>
      <c r="Q83" s="69"/>
    </row>
    <row r="84" spans="1:17" s="132" customFormat="1" x14ac:dyDescent="0.2">
      <c r="A84" s="44"/>
      <c r="B84" s="44"/>
      <c r="C84" s="44"/>
      <c r="D84" s="44"/>
      <c r="E84" s="44"/>
      <c r="F84" s="44"/>
      <c r="G84" s="44"/>
      <c r="H84" s="44"/>
      <c r="I84" s="44"/>
      <c r="O84" s="157"/>
      <c r="Q84" s="69"/>
    </row>
    <row r="85" spans="1:17" s="132" customFormat="1" x14ac:dyDescent="0.2">
      <c r="A85" s="44" t="s">
        <v>508</v>
      </c>
      <c r="B85" s="44"/>
      <c r="C85" s="44"/>
      <c r="D85" s="44"/>
      <c r="E85" s="44"/>
      <c r="F85" s="44"/>
      <c r="G85" s="44"/>
      <c r="H85" s="44"/>
      <c r="I85" s="44"/>
      <c r="O85" s="157"/>
      <c r="Q85" s="69"/>
    </row>
    <row r="86" spans="1:17" s="132" customFormat="1" x14ac:dyDescent="0.2">
      <c r="A86" s="44" t="s">
        <v>509</v>
      </c>
      <c r="B86" s="44"/>
      <c r="C86" s="44"/>
      <c r="D86" s="44">
        <v>7</v>
      </c>
      <c r="E86" s="44" t="s">
        <v>514</v>
      </c>
      <c r="F86" s="44"/>
      <c r="G86" s="44"/>
      <c r="H86" s="44"/>
      <c r="I86" s="44"/>
      <c r="O86" s="157"/>
      <c r="Q86" s="69"/>
    </row>
    <row r="87" spans="1:17" s="132" customFormat="1" x14ac:dyDescent="0.2">
      <c r="A87" s="44" t="s">
        <v>520</v>
      </c>
      <c r="B87" s="44"/>
      <c r="C87" s="44"/>
      <c r="D87" s="44">
        <f>D58</f>
        <v>0</v>
      </c>
      <c r="E87" s="44" t="s">
        <v>514</v>
      </c>
      <c r="F87" s="44"/>
      <c r="G87" s="44"/>
      <c r="H87" s="44"/>
      <c r="I87" s="44"/>
      <c r="O87" s="157"/>
      <c r="Q87" s="69"/>
    </row>
    <row r="88" spans="1:17" s="132" customFormat="1" x14ac:dyDescent="0.2">
      <c r="A88" s="44" t="s">
        <v>516</v>
      </c>
      <c r="B88" s="44"/>
      <c r="C88" s="44"/>
      <c r="D88" s="44">
        <f>D76*D86</f>
        <v>770</v>
      </c>
      <c r="E88" s="44" t="s">
        <v>515</v>
      </c>
      <c r="F88" s="44"/>
      <c r="G88" s="44"/>
      <c r="H88" s="44"/>
      <c r="I88" s="44"/>
      <c r="O88" s="157"/>
      <c r="Q88" s="69"/>
    </row>
    <row r="89" spans="1:17" s="132" customFormat="1" x14ac:dyDescent="0.2">
      <c r="A89" s="44" t="s">
        <v>511</v>
      </c>
      <c r="B89" s="44"/>
      <c r="C89" s="44"/>
      <c r="D89" s="44">
        <f>D87*D77</f>
        <v>0</v>
      </c>
      <c r="E89" s="44" t="s">
        <v>506</v>
      </c>
      <c r="F89" s="44"/>
      <c r="G89" s="44"/>
      <c r="H89" s="44"/>
      <c r="I89" s="44"/>
      <c r="O89" s="157"/>
      <c r="Q89" s="69"/>
    </row>
    <row r="90" spans="1:17" s="132" customFormat="1" x14ac:dyDescent="0.2">
      <c r="A90" s="44" t="s">
        <v>512</v>
      </c>
      <c r="B90" s="44"/>
      <c r="C90" s="44"/>
      <c r="D90" s="44"/>
      <c r="E90" s="44" t="s">
        <v>514</v>
      </c>
      <c r="F90" s="44"/>
      <c r="G90" s="44"/>
      <c r="H90" s="44"/>
      <c r="I90" s="44"/>
      <c r="O90" s="157"/>
      <c r="Q90" s="69"/>
    </row>
    <row r="91" spans="1:17" s="132" customFormat="1" x14ac:dyDescent="0.2">
      <c r="A91" s="44" t="s">
        <v>517</v>
      </c>
      <c r="B91" s="44"/>
      <c r="C91" s="44"/>
      <c r="D91" s="44">
        <f>D83*D90</f>
        <v>0</v>
      </c>
      <c r="E91" s="44" t="s">
        <v>518</v>
      </c>
      <c r="F91" s="44"/>
      <c r="G91" s="44"/>
      <c r="H91" s="44"/>
      <c r="I91" s="44"/>
      <c r="O91" s="157"/>
      <c r="Q91" s="69"/>
    </row>
    <row r="92" spans="1:17" s="132" customFormat="1" x14ac:dyDescent="0.2">
      <c r="A92" s="44"/>
      <c r="B92" s="44"/>
      <c r="C92" s="44"/>
      <c r="D92" s="44"/>
      <c r="E92" s="44"/>
      <c r="F92" s="44"/>
      <c r="G92" s="44"/>
      <c r="H92" s="44"/>
      <c r="I92" s="44"/>
      <c r="O92" s="157"/>
      <c r="Q92" s="69"/>
    </row>
    <row r="93" spans="1:17" s="132" customFormat="1" x14ac:dyDescent="0.2">
      <c r="A93" s="122" t="s">
        <v>513</v>
      </c>
      <c r="B93" s="122"/>
      <c r="C93" s="122"/>
      <c r="D93" s="122">
        <f>D88+D89+D91</f>
        <v>770</v>
      </c>
      <c r="E93" s="122" t="s">
        <v>131</v>
      </c>
      <c r="F93" s="44"/>
      <c r="G93" s="44"/>
      <c r="H93" s="44"/>
      <c r="I93" s="44"/>
      <c r="O93" s="157"/>
      <c r="Q93" s="69"/>
    </row>
    <row r="94" spans="1:17" x14ac:dyDescent="0.2">
      <c r="A94" s="16"/>
      <c r="B94" s="79"/>
      <c r="C94" s="80"/>
      <c r="D94" s="16"/>
      <c r="E94" s="16"/>
      <c r="F94" s="16"/>
      <c r="G94" s="16"/>
    </row>
    <row r="95" spans="1:17" x14ac:dyDescent="0.2">
      <c r="A95" s="77" t="s">
        <v>522</v>
      </c>
      <c r="B95" s="78"/>
      <c r="C95" s="78"/>
      <c r="D95" s="75"/>
      <c r="E95" s="75"/>
      <c r="F95" s="16"/>
      <c r="G95" s="16"/>
    </row>
    <row r="96" spans="1:17" x14ac:dyDescent="0.2">
      <c r="A96" s="94"/>
      <c r="B96" s="94"/>
      <c r="C96" s="94"/>
      <c r="D96" s="16"/>
      <c r="E96" s="16"/>
      <c r="F96" s="16"/>
      <c r="G96" s="16"/>
    </row>
    <row r="97" spans="1:17" x14ac:dyDescent="0.2">
      <c r="A97" s="16" t="s">
        <v>68</v>
      </c>
      <c r="B97" s="16"/>
      <c r="C97" s="16"/>
      <c r="D97" s="16">
        <f>+D31</f>
        <v>180209.36000000002</v>
      </c>
      <c r="E97" s="16" t="s">
        <v>37</v>
      </c>
      <c r="F97" s="16"/>
      <c r="G97" s="16"/>
      <c r="I97" s="63"/>
    </row>
    <row r="98" spans="1:17" x14ac:dyDescent="0.2">
      <c r="A98" s="16" t="s">
        <v>58</v>
      </c>
      <c r="B98" s="16"/>
      <c r="C98" s="16"/>
      <c r="D98" s="16">
        <f>D55</f>
        <v>208069.78</v>
      </c>
      <c r="E98" s="16" t="s">
        <v>37</v>
      </c>
      <c r="F98" s="16"/>
      <c r="G98" s="16"/>
      <c r="I98" s="63"/>
    </row>
    <row r="99" spans="1:17" x14ac:dyDescent="0.2">
      <c r="A99" s="16" t="s">
        <v>67</v>
      </c>
      <c r="B99" s="16"/>
      <c r="C99" s="16"/>
      <c r="D99" s="16">
        <f>D68</f>
        <v>2379.66</v>
      </c>
      <c r="E99" s="16" t="s">
        <v>37</v>
      </c>
      <c r="F99" s="16"/>
      <c r="G99" s="16"/>
      <c r="I99" s="63"/>
    </row>
    <row r="100" spans="1:17" x14ac:dyDescent="0.2">
      <c r="A100" s="44" t="s">
        <v>519</v>
      </c>
      <c r="B100" s="16"/>
      <c r="C100" s="16"/>
      <c r="D100" s="16">
        <f>D93</f>
        <v>770</v>
      </c>
      <c r="E100" s="16" t="s">
        <v>37</v>
      </c>
      <c r="F100" s="16"/>
      <c r="G100" s="16"/>
      <c r="I100" s="63"/>
      <c r="J100" s="63"/>
    </row>
    <row r="101" spans="1:17" x14ac:dyDescent="0.2">
      <c r="A101" s="16"/>
      <c r="B101" s="16"/>
      <c r="C101" s="16"/>
      <c r="D101" s="16"/>
      <c r="E101" s="16"/>
      <c r="F101" s="16"/>
      <c r="G101" s="16"/>
    </row>
    <row r="102" spans="1:17" x14ac:dyDescent="0.2">
      <c r="A102" s="33" t="s">
        <v>193</v>
      </c>
      <c r="B102" s="33"/>
      <c r="C102" s="33"/>
      <c r="D102" s="33">
        <f>ROUND(SUM(D97:D100),2)</f>
        <v>391428.8</v>
      </c>
      <c r="E102" s="33" t="s">
        <v>131</v>
      </c>
      <c r="F102" s="16"/>
      <c r="G102" s="16"/>
    </row>
    <row r="103" spans="1:17" x14ac:dyDescent="0.2">
      <c r="A103" s="16"/>
      <c r="B103" s="16"/>
      <c r="C103" s="16"/>
      <c r="D103" s="16" t="s">
        <v>8</v>
      </c>
      <c r="E103" s="16"/>
      <c r="F103" s="16"/>
      <c r="G103" s="16"/>
    </row>
    <row r="104" spans="1:17" s="103" customFormat="1" x14ac:dyDescent="0.2">
      <c r="A104" s="122" t="s">
        <v>490</v>
      </c>
      <c r="B104" s="176">
        <f>BDI!C12/100</f>
        <v>0.29712344612244879</v>
      </c>
      <c r="C104" s="122"/>
      <c r="D104" s="165">
        <f>D106-D102</f>
        <v>116302.67396757478</v>
      </c>
      <c r="E104" s="122" t="s">
        <v>131</v>
      </c>
      <c r="F104" s="161"/>
      <c r="G104" s="118"/>
      <c r="H104" s="40"/>
      <c r="I104" s="69"/>
      <c r="O104" s="174"/>
      <c r="Q104" s="146"/>
    </row>
    <row r="105" spans="1:17" x14ac:dyDescent="0.2">
      <c r="A105" s="16"/>
      <c r="B105" s="16"/>
      <c r="C105" s="16"/>
      <c r="D105" s="16"/>
      <c r="E105" s="16"/>
      <c r="F105" s="153"/>
      <c r="G105" s="154"/>
      <c r="H105" s="16"/>
    </row>
    <row r="106" spans="1:17" x14ac:dyDescent="0.2">
      <c r="A106" s="87" t="s">
        <v>489</v>
      </c>
      <c r="B106" s="90"/>
      <c r="C106" s="90"/>
      <c r="D106" s="33">
        <f>D102*BDI!C20</f>
        <v>507731.47396757477</v>
      </c>
      <c r="E106" s="33" t="s">
        <v>37</v>
      </c>
      <c r="F106" s="152"/>
      <c r="G106" s="151"/>
      <c r="H106" s="16"/>
      <c r="I106" s="89"/>
    </row>
    <row r="107" spans="1:17" ht="12.75" customHeight="1" x14ac:dyDescent="0.2">
      <c r="A107" s="88" t="s">
        <v>309</v>
      </c>
      <c r="B107" s="33"/>
      <c r="C107" s="33"/>
      <c r="D107" s="33">
        <v>2338.1634471124435</v>
      </c>
      <c r="E107" s="33" t="s">
        <v>230</v>
      </c>
      <c r="F107" s="16"/>
      <c r="G107" s="16"/>
    </row>
    <row r="108" spans="1:17" ht="14.25" customHeight="1" x14ac:dyDescent="0.2">
      <c r="A108" s="88" t="s">
        <v>310</v>
      </c>
      <c r="B108" s="33"/>
      <c r="C108" s="33"/>
      <c r="D108" s="33">
        <f>ROUND(D106/D107,2)</f>
        <v>217.15</v>
      </c>
      <c r="E108" s="90" t="s">
        <v>591</v>
      </c>
      <c r="F108" s="11"/>
      <c r="G108" s="16"/>
    </row>
    <row r="109" spans="1:17" x14ac:dyDescent="0.2">
      <c r="A109" s="16"/>
      <c r="B109" s="16"/>
      <c r="C109" s="16"/>
      <c r="D109" s="16"/>
      <c r="E109" s="16"/>
      <c r="F109" s="16"/>
      <c r="G109" s="16"/>
    </row>
    <row r="110" spans="1:17" x14ac:dyDescent="0.2">
      <c r="A110" s="95"/>
      <c r="B110" s="95"/>
      <c r="C110" s="95"/>
      <c r="G110" s="16"/>
    </row>
    <row r="111" spans="1:17" x14ac:dyDescent="0.2">
      <c r="D111" s="16"/>
      <c r="G111" s="16"/>
    </row>
    <row r="112" spans="1:17" x14ac:dyDescent="0.2">
      <c r="D112" s="16"/>
      <c r="G112" s="16"/>
    </row>
    <row r="115" spans="4:11" x14ac:dyDescent="0.2">
      <c r="K115" s="63"/>
    </row>
    <row r="116" spans="4:11" x14ac:dyDescent="0.2">
      <c r="K116" s="63"/>
    </row>
    <row r="117" spans="4:11" x14ac:dyDescent="0.2">
      <c r="D117" s="16"/>
      <c r="K117" s="63"/>
    </row>
    <row r="118" spans="4:11" x14ac:dyDescent="0.2">
      <c r="G118" s="11"/>
      <c r="K118" s="63"/>
    </row>
    <row r="119" spans="4:11" x14ac:dyDescent="0.2">
      <c r="K119" s="63"/>
    </row>
    <row r="120" spans="4:11" x14ac:dyDescent="0.2">
      <c r="K120" s="63"/>
    </row>
    <row r="121" spans="4:11" x14ac:dyDescent="0.2">
      <c r="D121" s="16"/>
    </row>
    <row r="122" spans="4:11" x14ac:dyDescent="0.2">
      <c r="K122" s="63"/>
    </row>
  </sheetData>
  <mergeCells count="3">
    <mergeCell ref="A1:E1"/>
    <mergeCell ref="A2:E2"/>
    <mergeCell ref="A7:E7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rowBreaks count="1" manualBreakCount="1">
    <brk id="84" max="6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105"/>
  <sheetViews>
    <sheetView view="pageBreakPreview" topLeftCell="A79" zoomScaleSheetLayoutView="100" workbookViewId="0">
      <selection activeCell="D17" sqref="D17"/>
    </sheetView>
  </sheetViews>
  <sheetFormatPr defaultColWidth="12" defaultRowHeight="12.75" x14ac:dyDescent="0.2"/>
  <cols>
    <col min="1" max="1" width="50.83203125" style="13" customWidth="1"/>
    <col min="2" max="2" width="10.83203125" style="13" customWidth="1"/>
    <col min="3" max="3" width="7.83203125" style="13" customWidth="1"/>
    <col min="4" max="4" width="14.83203125" style="13" customWidth="1"/>
    <col min="5" max="5" width="10.83203125" style="13" customWidth="1"/>
    <col min="6" max="6" width="14.83203125" style="13" customWidth="1"/>
    <col min="7" max="7" width="10.83203125" style="13" customWidth="1"/>
    <col min="8" max="8" width="16.6640625" style="16" customWidth="1"/>
    <col min="9" max="9" width="6.6640625" style="13" customWidth="1"/>
    <col min="10" max="16384" width="12" style="11"/>
  </cols>
  <sheetData>
    <row r="1" spans="1:9" ht="18.75" hidden="1" x14ac:dyDescent="0.3">
      <c r="A1" s="338" t="s">
        <v>226</v>
      </c>
      <c r="B1" s="338"/>
      <c r="C1" s="338"/>
      <c r="D1" s="338"/>
      <c r="E1" s="338"/>
      <c r="F1" s="10"/>
      <c r="G1" s="11"/>
      <c r="H1" s="10"/>
      <c r="I1" s="11"/>
    </row>
    <row r="2" spans="1:9" ht="18" hidden="1" customHeight="1" x14ac:dyDescent="0.25">
      <c r="A2" s="338"/>
      <c r="B2" s="338"/>
      <c r="C2" s="338"/>
      <c r="D2" s="338"/>
      <c r="E2" s="338"/>
      <c r="F2" s="12"/>
      <c r="G2" s="11"/>
      <c r="H2" s="12"/>
      <c r="I2" s="11"/>
    </row>
    <row r="3" spans="1:9" hidden="1" x14ac:dyDescent="0.2">
      <c r="G3" s="11"/>
      <c r="H3" s="13"/>
      <c r="I3" s="11"/>
    </row>
    <row r="4" spans="1:9" hidden="1" x14ac:dyDescent="0.2">
      <c r="A4" s="357"/>
      <c r="B4" s="357"/>
      <c r="G4" s="11"/>
      <c r="H4" s="13"/>
      <c r="I4" s="11"/>
    </row>
    <row r="5" spans="1:9" hidden="1" x14ac:dyDescent="0.2">
      <c r="G5" s="11"/>
      <c r="H5" s="13"/>
      <c r="I5" s="11"/>
    </row>
    <row r="6" spans="1:9" hidden="1" x14ac:dyDescent="0.2">
      <c r="A6" s="14" t="s">
        <v>228</v>
      </c>
      <c r="D6" s="14" t="s">
        <v>222</v>
      </c>
      <c r="G6" s="11"/>
      <c r="H6" s="13"/>
      <c r="I6" s="11"/>
    </row>
    <row r="7" spans="1:9" x14ac:dyDescent="0.2">
      <c r="F7" s="72"/>
      <c r="G7" s="11"/>
      <c r="H7" s="13"/>
      <c r="I7" s="11"/>
    </row>
    <row r="8" spans="1:9" x14ac:dyDescent="0.2">
      <c r="A8" s="339" t="s">
        <v>0</v>
      </c>
      <c r="B8" s="339"/>
      <c r="C8" s="339"/>
      <c r="D8" s="339"/>
      <c r="E8" s="339"/>
      <c r="F8" s="16"/>
      <c r="G8" s="16"/>
      <c r="H8" s="72"/>
      <c r="I8" s="11"/>
    </row>
    <row r="9" spans="1:9" x14ac:dyDescent="0.2">
      <c r="A9" s="16"/>
      <c r="B9" s="16"/>
      <c r="C9" s="16"/>
      <c r="D9" s="16"/>
      <c r="E9" s="16"/>
      <c r="F9" s="18"/>
      <c r="G9" s="18"/>
      <c r="I9" s="16"/>
    </row>
    <row r="10" spans="1:9" x14ac:dyDescent="0.2">
      <c r="A10" s="73" t="s">
        <v>574</v>
      </c>
      <c r="B10" s="73"/>
      <c r="C10" s="73"/>
      <c r="D10" s="18"/>
      <c r="E10" s="74"/>
      <c r="F10" s="18"/>
      <c r="G10" s="18"/>
      <c r="H10" s="18"/>
      <c r="I10" s="18"/>
    </row>
    <row r="11" spans="1:9" x14ac:dyDescent="0.2">
      <c r="A11" s="73"/>
      <c r="B11" s="73"/>
      <c r="C11" s="73"/>
      <c r="D11" s="18"/>
      <c r="E11" s="18"/>
      <c r="F11" s="18"/>
      <c r="G11" s="18"/>
      <c r="H11" s="18"/>
      <c r="I11" s="18"/>
    </row>
    <row r="12" spans="1:9" x14ac:dyDescent="0.2">
      <c r="A12" s="73"/>
      <c r="B12" s="73"/>
      <c r="C12" s="73"/>
      <c r="D12" s="18"/>
      <c r="E12" s="18"/>
      <c r="H12" s="18"/>
      <c r="I12" s="18"/>
    </row>
    <row r="13" spans="1:9" x14ac:dyDescent="0.2">
      <c r="A13" s="86" t="s">
        <v>34</v>
      </c>
      <c r="B13" s="84"/>
      <c r="C13" s="84"/>
      <c r="D13" s="16"/>
      <c r="E13" s="16"/>
      <c r="I13" s="16"/>
    </row>
    <row r="14" spans="1:9" x14ac:dyDescent="0.2">
      <c r="A14" s="16"/>
      <c r="B14" s="16"/>
      <c r="C14" s="16"/>
      <c r="D14" s="91" t="s">
        <v>442</v>
      </c>
      <c r="E14" s="91"/>
      <c r="F14" s="91" t="s">
        <v>441</v>
      </c>
      <c r="G14" s="16"/>
      <c r="I14" s="16"/>
    </row>
    <row r="15" spans="1:9" x14ac:dyDescent="0.2">
      <c r="A15" s="76" t="s">
        <v>88</v>
      </c>
      <c r="B15" s="76"/>
      <c r="C15" s="76"/>
      <c r="D15" s="16">
        <v>4</v>
      </c>
      <c r="E15" s="16" t="s">
        <v>35</v>
      </c>
      <c r="F15" s="16"/>
      <c r="G15" s="16" t="s">
        <v>35</v>
      </c>
      <c r="H15" s="16" t="s">
        <v>8</v>
      </c>
      <c r="I15" s="16"/>
    </row>
    <row r="16" spans="1:9" x14ac:dyDescent="0.2">
      <c r="A16" s="76" t="s">
        <v>482</v>
      </c>
      <c r="B16" s="65"/>
      <c r="C16" s="65"/>
      <c r="D16" s="16">
        <f>COLETOR!B32</f>
        <v>3512.0801999999999</v>
      </c>
      <c r="E16" s="65" t="s">
        <v>36</v>
      </c>
      <c r="F16" s="16">
        <f>+COLETOR!B59</f>
        <v>3820.9422199999999</v>
      </c>
      <c r="G16" s="65" t="s">
        <v>36</v>
      </c>
      <c r="I16" s="16"/>
    </row>
    <row r="17" spans="1:9" x14ac:dyDescent="0.2">
      <c r="A17" s="65" t="s">
        <v>481</v>
      </c>
      <c r="B17" s="65"/>
      <c r="C17" s="65"/>
      <c r="D17" s="16">
        <f>ROUND((((D15*(D16/220)*1.5)*4*4)),2)</f>
        <v>1532.54</v>
      </c>
      <c r="E17" s="16" t="s">
        <v>37</v>
      </c>
      <c r="F17" s="16">
        <f>ROUND((((F15*(F16/220)*1.5)*4*4)+(F15*((F16/220)*2)*8*1)),2)</f>
        <v>0</v>
      </c>
      <c r="G17" s="16" t="s">
        <v>37</v>
      </c>
      <c r="I17" s="16"/>
    </row>
    <row r="18" spans="1:9" x14ac:dyDescent="0.2">
      <c r="A18" s="76" t="s">
        <v>47</v>
      </c>
      <c r="B18" s="76"/>
      <c r="C18" s="76"/>
      <c r="D18" s="16">
        <f>(D15*D16)+D17</f>
        <v>15580.860799999999</v>
      </c>
      <c r="E18" s="16" t="s">
        <v>43</v>
      </c>
      <c r="F18" s="16">
        <f>(F15*F16)+F17</f>
        <v>0</v>
      </c>
      <c r="G18" s="16" t="s">
        <v>43</v>
      </c>
      <c r="I18" s="16"/>
    </row>
    <row r="19" spans="1:9" x14ac:dyDescent="0.2">
      <c r="A19" s="65"/>
      <c r="B19" s="65"/>
      <c r="C19" s="65"/>
      <c r="D19" s="16"/>
      <c r="E19" s="16"/>
      <c r="I19" s="16"/>
    </row>
    <row r="20" spans="1:9" x14ac:dyDescent="0.2">
      <c r="A20" s="65" t="s">
        <v>38</v>
      </c>
      <c r="B20" s="65"/>
      <c r="C20" s="65"/>
      <c r="D20" s="16"/>
      <c r="E20" s="16" t="s">
        <v>35</v>
      </c>
      <c r="F20" s="16">
        <v>0</v>
      </c>
      <c r="G20" s="16" t="s">
        <v>35</v>
      </c>
      <c r="I20" s="16"/>
    </row>
    <row r="21" spans="1:9" x14ac:dyDescent="0.2">
      <c r="A21" s="16" t="s">
        <v>39</v>
      </c>
      <c r="B21" s="16"/>
      <c r="C21" s="16"/>
      <c r="D21" s="16">
        <f>'ENC I'!B32</f>
        <v>5896.6907724273269</v>
      </c>
      <c r="E21" s="16" t="s">
        <v>36</v>
      </c>
      <c r="F21" s="16">
        <f>'ENC I'!B59</f>
        <v>6317.4516010755824</v>
      </c>
      <c r="G21" s="65" t="s">
        <v>36</v>
      </c>
      <c r="I21" s="16"/>
    </row>
    <row r="22" spans="1:9" x14ac:dyDescent="0.2">
      <c r="A22" s="76" t="s">
        <v>42</v>
      </c>
      <c r="B22" s="76"/>
      <c r="C22" s="76"/>
      <c r="D22" s="16">
        <f>+D21*D20</f>
        <v>0</v>
      </c>
      <c r="E22" s="16" t="s">
        <v>37</v>
      </c>
      <c r="F22" s="16"/>
      <c r="G22" s="16" t="s">
        <v>37</v>
      </c>
      <c r="I22" s="16"/>
    </row>
    <row r="23" spans="1:9" x14ac:dyDescent="0.2">
      <c r="A23" s="16" t="s">
        <v>48</v>
      </c>
      <c r="B23" s="16"/>
      <c r="C23" s="16"/>
      <c r="D23" s="16">
        <f>D22</f>
        <v>0</v>
      </c>
      <c r="E23" s="16" t="s">
        <v>43</v>
      </c>
      <c r="F23" s="16"/>
      <c r="G23" s="16" t="s">
        <v>43</v>
      </c>
      <c r="I23" s="16"/>
    </row>
    <row r="24" spans="1:9" x14ac:dyDescent="0.2">
      <c r="A24" s="16"/>
      <c r="B24" s="16"/>
      <c r="C24" s="16"/>
      <c r="D24" s="16"/>
      <c r="E24" s="16"/>
      <c r="F24" s="16"/>
      <c r="I24" s="16"/>
    </row>
    <row r="25" spans="1:9" x14ac:dyDescent="0.2">
      <c r="A25" s="65" t="s">
        <v>49</v>
      </c>
      <c r="B25" s="65"/>
      <c r="C25" s="65"/>
      <c r="D25" s="16">
        <v>2</v>
      </c>
      <c r="E25" s="16" t="s">
        <v>35</v>
      </c>
      <c r="F25" s="16"/>
      <c r="G25" s="16" t="s">
        <v>35</v>
      </c>
      <c r="I25" s="16"/>
    </row>
    <row r="26" spans="1:9" x14ac:dyDescent="0.2">
      <c r="A26" s="76" t="s">
        <v>484</v>
      </c>
      <c r="B26" s="65"/>
      <c r="C26" s="65"/>
      <c r="D26" s="16">
        <f>MOTORISTA!B32</f>
        <v>5407.0828585454556</v>
      </c>
      <c r="E26" s="16" t="s">
        <v>36</v>
      </c>
      <c r="F26" s="16">
        <f>+MOTORISTA!B58</f>
        <v>6029.6182158636366</v>
      </c>
      <c r="G26" s="65" t="s">
        <v>36</v>
      </c>
      <c r="I26" s="16"/>
    </row>
    <row r="27" spans="1:9" x14ac:dyDescent="0.2">
      <c r="A27" s="65" t="s">
        <v>481</v>
      </c>
      <c r="B27" s="65"/>
      <c r="C27" s="65"/>
      <c r="D27" s="16">
        <f>ROUND((((D25*(D26/220)*1.5)*4*4)),2)</f>
        <v>1179.73</v>
      </c>
      <c r="E27" s="16" t="s">
        <v>37</v>
      </c>
      <c r="F27" s="16">
        <f>ROUND((((F25*(F26/220)*1.5)*4*4)+(F25*((F26/220)*2)*8*1)),2)</f>
        <v>0</v>
      </c>
      <c r="G27" s="16" t="s">
        <v>37</v>
      </c>
      <c r="I27" s="16"/>
    </row>
    <row r="28" spans="1:9" x14ac:dyDescent="0.2">
      <c r="A28" s="76" t="s">
        <v>52</v>
      </c>
      <c r="B28" s="76"/>
      <c r="C28" s="76"/>
      <c r="D28" s="16">
        <f>(D25*D26)+D27</f>
        <v>11993.895717090911</v>
      </c>
      <c r="E28" s="16" t="s">
        <v>43</v>
      </c>
      <c r="F28" s="16">
        <f>(F25*F26)+F27</f>
        <v>0</v>
      </c>
      <c r="G28" s="16" t="s">
        <v>43</v>
      </c>
      <c r="I28" s="16"/>
    </row>
    <row r="29" spans="1:9" x14ac:dyDescent="0.2">
      <c r="A29" s="16"/>
      <c r="B29" s="16"/>
      <c r="C29" s="16"/>
      <c r="D29" s="16"/>
      <c r="E29" s="16"/>
      <c r="G29" s="16"/>
      <c r="I29" s="16"/>
    </row>
    <row r="30" spans="1:9" x14ac:dyDescent="0.2">
      <c r="A30" s="33" t="s">
        <v>199</v>
      </c>
      <c r="B30" s="33"/>
      <c r="C30" s="33"/>
      <c r="D30" s="33">
        <f>D18+D23+D28+F18+F28</f>
        <v>27574.756517090907</v>
      </c>
      <c r="E30" s="33" t="s">
        <v>131</v>
      </c>
      <c r="F30" s="16"/>
      <c r="G30" s="16"/>
      <c r="I30" s="16"/>
    </row>
    <row r="31" spans="1:9" x14ac:dyDescent="0.2">
      <c r="A31" s="16"/>
      <c r="B31" s="16"/>
      <c r="C31" s="16"/>
      <c r="D31" s="16"/>
      <c r="E31" s="16"/>
      <c r="F31" s="91"/>
      <c r="G31" s="16"/>
      <c r="I31" s="16"/>
    </row>
    <row r="32" spans="1:9" x14ac:dyDescent="0.2">
      <c r="A32" s="93" t="s">
        <v>87</v>
      </c>
      <c r="B32" s="81"/>
      <c r="C32" s="81"/>
      <c r="D32" s="16"/>
      <c r="E32" s="16"/>
      <c r="F32" s="16" t="s">
        <v>8</v>
      </c>
      <c r="G32" s="16"/>
      <c r="I32" s="16"/>
    </row>
    <row r="33" spans="1:9" x14ac:dyDescent="0.2">
      <c r="A33" s="16"/>
      <c r="B33" s="16"/>
      <c r="C33" s="16"/>
      <c r="D33" s="16"/>
      <c r="E33" s="16"/>
      <c r="F33" s="16"/>
      <c r="G33" s="16"/>
      <c r="I33" s="16"/>
    </row>
    <row r="34" spans="1:9" x14ac:dyDescent="0.2">
      <c r="A34" s="76" t="s">
        <v>305</v>
      </c>
      <c r="B34" s="76"/>
      <c r="C34" s="76"/>
      <c r="D34" s="16">
        <v>2</v>
      </c>
      <c r="E34" s="16" t="s">
        <v>35</v>
      </c>
      <c r="F34" s="16"/>
      <c r="G34" s="16" t="s">
        <v>35</v>
      </c>
      <c r="H34" s="16" t="s">
        <v>8</v>
      </c>
      <c r="I34" s="16"/>
    </row>
    <row r="35" spans="1:9" x14ac:dyDescent="0.2">
      <c r="A35" s="16" t="s">
        <v>329</v>
      </c>
      <c r="B35" s="16"/>
      <c r="C35" s="16"/>
      <c r="D35" s="16">
        <f>'BASCULANTE 6'!B61</f>
        <v>8374.508669933628</v>
      </c>
      <c r="E35" s="16" t="s">
        <v>36</v>
      </c>
      <c r="F35" s="16">
        <f>'BASCULANTE 6'!B63</f>
        <v>2342.8670364863997</v>
      </c>
      <c r="G35" s="16" t="s">
        <v>36</v>
      </c>
      <c r="I35" s="16"/>
    </row>
    <row r="36" spans="1:9" x14ac:dyDescent="0.2">
      <c r="A36" s="65" t="s">
        <v>306</v>
      </c>
      <c r="B36" s="65"/>
      <c r="C36" s="65"/>
      <c r="D36" s="16">
        <f>ROUND(+D35*D34,2)</f>
        <v>16749.02</v>
      </c>
      <c r="E36" s="16" t="s">
        <v>37</v>
      </c>
      <c r="F36" s="16">
        <f>ROUND(+F35*F34,2)</f>
        <v>0</v>
      </c>
      <c r="G36" s="16" t="s">
        <v>37</v>
      </c>
      <c r="I36" s="16"/>
    </row>
    <row r="37" spans="1:9" x14ac:dyDescent="0.2">
      <c r="A37" s="65"/>
      <c r="B37" s="65"/>
      <c r="C37" s="65"/>
      <c r="D37" s="16"/>
      <c r="E37" s="16"/>
      <c r="F37" s="16"/>
      <c r="G37" s="16"/>
      <c r="I37" s="16"/>
    </row>
    <row r="38" spans="1:9" hidden="1" x14ac:dyDescent="0.2">
      <c r="A38" s="76" t="s">
        <v>559</v>
      </c>
      <c r="B38" s="76"/>
      <c r="C38" s="76"/>
      <c r="D38" s="16"/>
      <c r="E38" s="16" t="s">
        <v>35</v>
      </c>
      <c r="F38" s="16"/>
      <c r="G38" s="16"/>
      <c r="H38" s="11"/>
      <c r="I38" s="11"/>
    </row>
    <row r="39" spans="1:9" hidden="1" x14ac:dyDescent="0.2">
      <c r="A39" s="16" t="s">
        <v>329</v>
      </c>
      <c r="B39" s="16"/>
      <c r="C39" s="16"/>
      <c r="D39" s="16"/>
      <c r="E39" s="16" t="s">
        <v>36</v>
      </c>
      <c r="F39" s="16"/>
      <c r="G39" s="16"/>
      <c r="H39" s="11"/>
      <c r="I39" s="11"/>
    </row>
    <row r="40" spans="1:9" hidden="1" x14ac:dyDescent="0.2">
      <c r="A40" s="76" t="s">
        <v>93</v>
      </c>
      <c r="B40" s="76"/>
      <c r="C40" s="76"/>
      <c r="D40" s="16">
        <f>ROUND(D39*D38,2)</f>
        <v>0</v>
      </c>
      <c r="E40" s="16" t="s">
        <v>37</v>
      </c>
      <c r="F40" s="16"/>
      <c r="G40" s="16"/>
      <c r="H40" s="11"/>
      <c r="I40" s="11"/>
    </row>
    <row r="41" spans="1:9" hidden="1" x14ac:dyDescent="0.2">
      <c r="A41" s="76"/>
      <c r="B41" s="76"/>
      <c r="C41" s="76"/>
      <c r="D41" s="16"/>
      <c r="E41" s="16"/>
      <c r="F41" s="16"/>
      <c r="G41" s="16"/>
      <c r="H41" s="11"/>
      <c r="I41" s="11"/>
    </row>
    <row r="42" spans="1:9" hidden="1" x14ac:dyDescent="0.2">
      <c r="A42" s="76" t="s">
        <v>560</v>
      </c>
      <c r="B42" s="76"/>
      <c r="C42" s="76"/>
      <c r="D42" s="16"/>
      <c r="E42" s="16" t="s">
        <v>35</v>
      </c>
      <c r="F42" s="16"/>
      <c r="G42" s="16"/>
      <c r="H42" s="11"/>
      <c r="I42" s="11"/>
    </row>
    <row r="43" spans="1:9" hidden="1" x14ac:dyDescent="0.2">
      <c r="A43" s="16" t="s">
        <v>561</v>
      </c>
      <c r="B43" s="16"/>
      <c r="C43" s="16"/>
      <c r="D43" s="16"/>
      <c r="E43" s="16" t="s">
        <v>36</v>
      </c>
      <c r="F43" s="16"/>
      <c r="G43" s="16"/>
      <c r="H43" s="11"/>
      <c r="I43" s="11"/>
    </row>
    <row r="44" spans="1:9" hidden="1" x14ac:dyDescent="0.2">
      <c r="A44" s="76" t="s">
        <v>54</v>
      </c>
      <c r="B44" s="76"/>
      <c r="C44" s="76"/>
      <c r="D44" s="16">
        <f>ROUND(+D43*D42,2)</f>
        <v>0</v>
      </c>
      <c r="E44" s="16" t="s">
        <v>37</v>
      </c>
      <c r="F44" s="16"/>
      <c r="G44" s="16"/>
      <c r="H44" s="11"/>
      <c r="I44" s="11"/>
    </row>
    <row r="45" spans="1:9" hidden="1" x14ac:dyDescent="0.2">
      <c r="A45" s="16"/>
      <c r="B45" s="16"/>
      <c r="C45" s="16"/>
      <c r="D45" s="16"/>
      <c r="E45" s="16"/>
      <c r="F45" s="16"/>
      <c r="G45" s="16"/>
      <c r="I45" s="16"/>
    </row>
    <row r="46" spans="1:9" x14ac:dyDescent="0.2">
      <c r="A46" s="33" t="s">
        <v>200</v>
      </c>
      <c r="B46" s="33"/>
      <c r="C46" s="33"/>
      <c r="D46" s="33">
        <f>D36+F36+D40+D44</f>
        <v>16749.02</v>
      </c>
      <c r="E46" s="33" t="s">
        <v>131</v>
      </c>
      <c r="F46" s="16"/>
      <c r="G46" s="16"/>
      <c r="I46" s="16"/>
    </row>
    <row r="47" spans="1:9" x14ac:dyDescent="0.2">
      <c r="A47" s="16"/>
      <c r="B47" s="16"/>
      <c r="C47" s="16"/>
      <c r="D47" s="16"/>
      <c r="E47" s="16"/>
      <c r="F47" s="16"/>
      <c r="G47" s="16"/>
      <c r="I47" s="16"/>
    </row>
    <row r="48" spans="1:9" x14ac:dyDescent="0.2">
      <c r="A48" s="93" t="s">
        <v>521</v>
      </c>
      <c r="B48" s="81"/>
      <c r="C48" s="81"/>
      <c r="D48" s="82"/>
      <c r="E48" s="16"/>
      <c r="F48" s="16"/>
      <c r="G48" s="16"/>
      <c r="I48" s="11"/>
    </row>
    <row r="49" spans="1:17" x14ac:dyDescent="0.2">
      <c r="A49" s="81"/>
      <c r="B49" s="81"/>
      <c r="C49" s="81"/>
      <c r="D49" s="82"/>
      <c r="E49" s="16"/>
      <c r="F49" s="16"/>
      <c r="G49" s="11"/>
      <c r="I49" s="11"/>
    </row>
    <row r="50" spans="1:17" x14ac:dyDescent="0.2">
      <c r="A50" s="23" t="s">
        <v>127</v>
      </c>
      <c r="B50" s="226">
        <v>4</v>
      </c>
      <c r="C50" s="80" t="s">
        <v>114</v>
      </c>
      <c r="D50" s="16">
        <f>B50*PREÇOS!J6</f>
        <v>57.866666666666667</v>
      </c>
      <c r="E50" s="16" t="s">
        <v>37</v>
      </c>
      <c r="F50" s="16"/>
      <c r="G50" s="11"/>
      <c r="H50" s="97"/>
      <c r="I50" s="16"/>
    </row>
    <row r="51" spans="1:17" x14ac:dyDescent="0.2">
      <c r="A51" s="16" t="s">
        <v>116</v>
      </c>
      <c r="B51" s="226">
        <v>4</v>
      </c>
      <c r="C51" s="80" t="s">
        <v>114</v>
      </c>
      <c r="D51" s="16">
        <f>B51*PREÇOS!J5</f>
        <v>322</v>
      </c>
      <c r="E51" s="16" t="s">
        <v>37</v>
      </c>
      <c r="F51" s="16"/>
      <c r="G51" s="16"/>
      <c r="H51" s="92"/>
      <c r="I51" s="16"/>
    </row>
    <row r="52" spans="1:17" x14ac:dyDescent="0.2">
      <c r="A52" s="16" t="s">
        <v>117</v>
      </c>
      <c r="B52" s="226">
        <v>2</v>
      </c>
      <c r="C52" s="80" t="s">
        <v>114</v>
      </c>
      <c r="D52" s="16">
        <f>B52*PREÇOS!J8</f>
        <v>64.89</v>
      </c>
      <c r="E52" s="16" t="s">
        <v>37</v>
      </c>
      <c r="F52" s="16"/>
      <c r="G52" s="16"/>
      <c r="H52" s="92"/>
      <c r="I52" s="16"/>
    </row>
    <row r="53" spans="1:17" x14ac:dyDescent="0.2">
      <c r="A53" s="16" t="s">
        <v>118</v>
      </c>
      <c r="B53" s="226">
        <v>2</v>
      </c>
      <c r="C53" s="80" t="s">
        <v>114</v>
      </c>
      <c r="D53" s="16">
        <f>B53*PREÇOS!J7</f>
        <v>46.6</v>
      </c>
      <c r="E53" s="16" t="s">
        <v>37</v>
      </c>
      <c r="F53" s="16"/>
      <c r="G53" s="16"/>
      <c r="H53" s="92"/>
      <c r="I53" s="16"/>
    </row>
    <row r="54" spans="1:17" x14ac:dyDescent="0.2">
      <c r="A54" s="16" t="s">
        <v>119</v>
      </c>
      <c r="B54" s="226">
        <v>2</v>
      </c>
      <c r="C54" s="80" t="s">
        <v>114</v>
      </c>
      <c r="D54" s="16">
        <f>B54*PREÇOS!J9</f>
        <v>49.75555555555556</v>
      </c>
      <c r="E54" s="16" t="s">
        <v>37</v>
      </c>
      <c r="F54" s="16"/>
      <c r="G54" s="16"/>
      <c r="H54" s="92"/>
      <c r="I54" s="16"/>
    </row>
    <row r="55" spans="1:17" x14ac:dyDescent="0.2">
      <c r="A55" s="16" t="s">
        <v>124</v>
      </c>
      <c r="B55" s="226">
        <v>2</v>
      </c>
      <c r="C55" s="80" t="s">
        <v>114</v>
      </c>
      <c r="D55" s="16">
        <f>B55*PREÇOS!J12</f>
        <v>12.53888888888889</v>
      </c>
      <c r="E55" s="16" t="s">
        <v>37</v>
      </c>
      <c r="F55" s="16"/>
      <c r="G55" s="16"/>
      <c r="H55" s="92"/>
      <c r="I55" s="16"/>
    </row>
    <row r="56" spans="1:17" x14ac:dyDescent="0.2">
      <c r="A56" s="16" t="s">
        <v>104</v>
      </c>
      <c r="B56" s="226"/>
      <c r="C56" s="80" t="s">
        <v>114</v>
      </c>
      <c r="D56" s="16">
        <f>B56*PREÇOS!J14</f>
        <v>0</v>
      </c>
      <c r="E56" s="16" t="s">
        <v>37</v>
      </c>
      <c r="F56" s="16"/>
      <c r="G56" s="16"/>
      <c r="H56" s="92"/>
      <c r="I56" s="16"/>
    </row>
    <row r="57" spans="1:17" x14ac:dyDescent="0.2">
      <c r="A57" s="44" t="s">
        <v>493</v>
      </c>
      <c r="B57" s="222">
        <f>(D15+F15+D20+F20+D25+F25)*2*26</f>
        <v>312</v>
      </c>
      <c r="C57" s="125" t="s">
        <v>494</v>
      </c>
      <c r="D57" s="44">
        <f>B57*PREÇOS!J29</f>
        <v>109.19999999999999</v>
      </c>
      <c r="E57" s="44" t="s">
        <v>43</v>
      </c>
      <c r="F57" s="16"/>
      <c r="G57" s="16"/>
      <c r="H57" s="92"/>
      <c r="I57" s="16"/>
    </row>
    <row r="58" spans="1:17" x14ac:dyDescent="0.2">
      <c r="A58" s="16"/>
      <c r="B58" s="16"/>
      <c r="C58" s="16"/>
      <c r="D58" s="16"/>
      <c r="E58" s="16"/>
      <c r="F58" s="16"/>
      <c r="G58" s="16"/>
      <c r="I58" s="16"/>
    </row>
    <row r="59" spans="1:17" x14ac:dyDescent="0.2">
      <c r="A59" s="33" t="s">
        <v>197</v>
      </c>
      <c r="B59" s="33"/>
      <c r="C59" s="33"/>
      <c r="D59" s="33">
        <f>SUM(D50:D57)</f>
        <v>662.85111111111109</v>
      </c>
      <c r="E59" s="33" t="s">
        <v>131</v>
      </c>
      <c r="F59" s="16"/>
      <c r="G59" s="16"/>
      <c r="I59" s="16"/>
    </row>
    <row r="60" spans="1:17" x14ac:dyDescent="0.2">
      <c r="A60" s="16"/>
      <c r="B60" s="16"/>
      <c r="C60" s="16"/>
      <c r="D60" s="16"/>
      <c r="E60" s="16"/>
      <c r="F60" s="16"/>
      <c r="G60" s="16"/>
      <c r="I60" s="16"/>
    </row>
    <row r="61" spans="1:17" s="132" customFormat="1" x14ac:dyDescent="0.2">
      <c r="A61" s="127" t="s">
        <v>491</v>
      </c>
      <c r="B61" s="44"/>
      <c r="C61" s="44"/>
      <c r="D61" s="44"/>
      <c r="E61" s="44"/>
      <c r="F61" s="44"/>
      <c r="G61" s="44"/>
      <c r="H61" s="44"/>
      <c r="I61" s="44"/>
      <c r="O61" s="157"/>
      <c r="Q61" s="69"/>
    </row>
    <row r="62" spans="1:17" s="132" customFormat="1" x14ac:dyDescent="0.2">
      <c r="A62" s="127"/>
      <c r="B62" s="44"/>
      <c r="C62" s="44"/>
      <c r="D62" s="44"/>
      <c r="E62" s="44"/>
      <c r="F62" s="44"/>
      <c r="G62" s="44"/>
      <c r="H62" s="44"/>
      <c r="I62" s="44"/>
      <c r="O62" s="157"/>
      <c r="Q62" s="69"/>
    </row>
    <row r="63" spans="1:17" s="132" customFormat="1" x14ac:dyDescent="0.2">
      <c r="A63" s="225" t="s">
        <v>499</v>
      </c>
      <c r="B63" s="44"/>
      <c r="C63" s="44"/>
      <c r="D63" s="44"/>
      <c r="E63" s="44"/>
      <c r="F63" s="44"/>
      <c r="G63" s="44"/>
      <c r="H63" s="44"/>
      <c r="I63" s="44"/>
      <c r="O63" s="157"/>
      <c r="Q63" s="69"/>
    </row>
    <row r="64" spans="1:17" s="132" customFormat="1" x14ac:dyDescent="0.2">
      <c r="A64" s="225" t="s">
        <v>497</v>
      </c>
      <c r="B64" s="44"/>
      <c r="C64" s="44"/>
      <c r="D64" s="44">
        <v>110</v>
      </c>
      <c r="E64" s="44" t="s">
        <v>496</v>
      </c>
      <c r="F64" s="44"/>
      <c r="G64" s="44"/>
      <c r="H64" s="44"/>
      <c r="I64" s="44"/>
      <c r="O64" s="157"/>
      <c r="Q64" s="69"/>
    </row>
    <row r="65" spans="1:17" s="132" customFormat="1" x14ac:dyDescent="0.2">
      <c r="A65" s="225" t="s">
        <v>498</v>
      </c>
      <c r="B65" s="44"/>
      <c r="C65" s="44"/>
      <c r="D65" s="44">
        <v>110</v>
      </c>
      <c r="E65" s="44" t="s">
        <v>506</v>
      </c>
      <c r="F65" s="44"/>
      <c r="G65" s="44"/>
      <c r="H65" s="44"/>
      <c r="I65" s="44"/>
      <c r="O65" s="157"/>
      <c r="Q65" s="69"/>
    </row>
    <row r="66" spans="1:17" s="132" customFormat="1" x14ac:dyDescent="0.2">
      <c r="A66" s="225"/>
      <c r="B66" s="44"/>
      <c r="C66" s="44"/>
      <c r="D66" s="44"/>
      <c r="E66" s="44"/>
      <c r="F66" s="44"/>
      <c r="G66" s="44"/>
      <c r="H66" s="44"/>
      <c r="I66" s="44"/>
      <c r="O66" s="157"/>
      <c r="Q66" s="69"/>
    </row>
    <row r="67" spans="1:17" s="132" customFormat="1" x14ac:dyDescent="0.2">
      <c r="A67" s="225" t="s">
        <v>500</v>
      </c>
      <c r="B67" s="44"/>
      <c r="C67" s="44"/>
      <c r="D67" s="44"/>
      <c r="E67" s="44"/>
      <c r="F67" s="44"/>
      <c r="G67" s="44"/>
      <c r="H67" s="44"/>
      <c r="I67" s="44"/>
      <c r="O67" s="157"/>
      <c r="Q67" s="69"/>
    </row>
    <row r="68" spans="1:17" s="132" customFormat="1" x14ac:dyDescent="0.2">
      <c r="A68" s="225" t="s">
        <v>501</v>
      </c>
      <c r="B68" s="44"/>
      <c r="C68" s="44"/>
      <c r="D68" s="44">
        <v>800</v>
      </c>
      <c r="E68" s="44" t="s">
        <v>505</v>
      </c>
      <c r="F68" s="44"/>
      <c r="G68" s="44"/>
      <c r="H68" s="44"/>
      <c r="I68" s="44"/>
      <c r="O68" s="157"/>
      <c r="Q68" s="69"/>
    </row>
    <row r="69" spans="1:17" s="132" customFormat="1" x14ac:dyDescent="0.2">
      <c r="A69" s="225" t="s">
        <v>502</v>
      </c>
      <c r="B69" s="44"/>
      <c r="C69" s="44"/>
      <c r="D69" s="44">
        <v>60</v>
      </c>
      <c r="E69" s="44" t="s">
        <v>506</v>
      </c>
      <c r="F69" s="44"/>
      <c r="G69" s="44"/>
      <c r="H69" s="44"/>
      <c r="I69" s="44"/>
      <c r="O69" s="157"/>
      <c r="Q69" s="69"/>
    </row>
    <row r="70" spans="1:17" s="132" customFormat="1" x14ac:dyDescent="0.2">
      <c r="A70" s="225" t="s">
        <v>503</v>
      </c>
      <c r="B70" s="44"/>
      <c r="C70" s="44"/>
      <c r="D70" s="44">
        <v>30</v>
      </c>
      <c r="E70" s="44" t="s">
        <v>55</v>
      </c>
      <c r="F70" s="44"/>
      <c r="G70" s="44"/>
      <c r="H70" s="44"/>
      <c r="I70" s="44"/>
      <c r="O70" s="157"/>
      <c r="Q70" s="69"/>
    </row>
    <row r="71" spans="1:17" s="132" customFormat="1" x14ac:dyDescent="0.2">
      <c r="A71" s="44" t="s">
        <v>504</v>
      </c>
      <c r="B71" s="44"/>
      <c r="C71" s="44"/>
      <c r="D71" s="44">
        <f>(D68/D70)+D69</f>
        <v>86.666666666666671</v>
      </c>
      <c r="E71" s="44" t="s">
        <v>507</v>
      </c>
      <c r="F71" s="44"/>
      <c r="G71" s="44"/>
      <c r="H71" s="44"/>
      <c r="I71" s="44"/>
      <c r="O71" s="157"/>
      <c r="Q71" s="69"/>
    </row>
    <row r="72" spans="1:17" s="132" customFormat="1" x14ac:dyDescent="0.2">
      <c r="A72" s="44"/>
      <c r="B72" s="44"/>
      <c r="C72" s="44"/>
      <c r="D72" s="44"/>
      <c r="E72" s="44"/>
      <c r="F72" s="44"/>
      <c r="G72" s="44"/>
      <c r="H72" s="44"/>
      <c r="I72" s="44"/>
      <c r="O72" s="157"/>
      <c r="Q72" s="69"/>
    </row>
    <row r="73" spans="1:17" s="132" customFormat="1" x14ac:dyDescent="0.2">
      <c r="A73" s="44" t="s">
        <v>508</v>
      </c>
      <c r="B73" s="44"/>
      <c r="C73" s="44"/>
      <c r="D73" s="44"/>
      <c r="E73" s="44"/>
      <c r="F73" s="44"/>
      <c r="G73" s="44"/>
      <c r="H73" s="44"/>
      <c r="I73" s="44"/>
      <c r="O73" s="157"/>
      <c r="Q73" s="69"/>
    </row>
    <row r="74" spans="1:17" s="132" customFormat="1" x14ac:dyDescent="0.2">
      <c r="A74" s="44" t="s">
        <v>509</v>
      </c>
      <c r="B74" s="44"/>
      <c r="C74" s="44"/>
      <c r="D74" s="44">
        <v>2</v>
      </c>
      <c r="E74" s="44" t="s">
        <v>514</v>
      </c>
      <c r="F74" s="44"/>
      <c r="G74" s="44"/>
      <c r="H74" s="44"/>
      <c r="I74" s="44"/>
      <c r="O74" s="157"/>
      <c r="Q74" s="69"/>
    </row>
    <row r="75" spans="1:17" s="132" customFormat="1" x14ac:dyDescent="0.2">
      <c r="A75" s="44" t="s">
        <v>520</v>
      </c>
      <c r="B75" s="44"/>
      <c r="C75" s="44"/>
      <c r="D75" s="44">
        <v>0</v>
      </c>
      <c r="E75" s="44" t="s">
        <v>514</v>
      </c>
      <c r="F75" s="44"/>
      <c r="G75" s="44"/>
      <c r="H75" s="44"/>
      <c r="I75" s="44"/>
      <c r="O75" s="157"/>
      <c r="Q75" s="69"/>
    </row>
    <row r="76" spans="1:17" s="132" customFormat="1" x14ac:dyDescent="0.2">
      <c r="A76" s="44" t="s">
        <v>516</v>
      </c>
      <c r="B76" s="44"/>
      <c r="C76" s="44"/>
      <c r="D76" s="44">
        <f>D64*D74</f>
        <v>220</v>
      </c>
      <c r="E76" s="44" t="s">
        <v>515</v>
      </c>
      <c r="F76" s="44"/>
      <c r="G76" s="44"/>
      <c r="H76" s="44"/>
      <c r="I76" s="44"/>
      <c r="O76" s="157"/>
      <c r="Q76" s="69"/>
    </row>
    <row r="77" spans="1:17" s="132" customFormat="1" x14ac:dyDescent="0.2">
      <c r="A77" s="44" t="s">
        <v>511</v>
      </c>
      <c r="B77" s="44"/>
      <c r="C77" s="44"/>
      <c r="D77" s="44">
        <f>D75*D65</f>
        <v>0</v>
      </c>
      <c r="E77" s="44" t="s">
        <v>506</v>
      </c>
      <c r="F77" s="44"/>
      <c r="G77" s="44"/>
      <c r="H77" s="44"/>
      <c r="I77" s="44"/>
      <c r="O77" s="157"/>
      <c r="Q77" s="69"/>
    </row>
    <row r="78" spans="1:17" s="132" customFormat="1" x14ac:dyDescent="0.2">
      <c r="A78" s="44" t="s">
        <v>512</v>
      </c>
      <c r="B78" s="44"/>
      <c r="C78" s="44"/>
      <c r="D78" s="44"/>
      <c r="E78" s="44" t="s">
        <v>514</v>
      </c>
      <c r="F78" s="44"/>
      <c r="G78" s="44"/>
      <c r="H78" s="44"/>
      <c r="I78" s="44"/>
      <c r="O78" s="157"/>
      <c r="Q78" s="69"/>
    </row>
    <row r="79" spans="1:17" s="132" customFormat="1" x14ac:dyDescent="0.2">
      <c r="A79" s="44" t="s">
        <v>517</v>
      </c>
      <c r="B79" s="44"/>
      <c r="C79" s="44"/>
      <c r="D79" s="44">
        <f>D71*D78</f>
        <v>0</v>
      </c>
      <c r="E79" s="44" t="s">
        <v>518</v>
      </c>
      <c r="F79" s="44"/>
      <c r="G79" s="44"/>
      <c r="H79" s="44"/>
      <c r="I79" s="44"/>
      <c r="O79" s="157"/>
      <c r="Q79" s="69"/>
    </row>
    <row r="80" spans="1:17" s="132" customFormat="1" x14ac:dyDescent="0.2">
      <c r="A80" s="44"/>
      <c r="B80" s="44"/>
      <c r="C80" s="44"/>
      <c r="D80" s="44"/>
      <c r="E80" s="44"/>
      <c r="F80" s="44"/>
      <c r="G80" s="44"/>
      <c r="H80" s="44"/>
      <c r="I80" s="44"/>
      <c r="O80" s="157"/>
      <c r="Q80" s="69"/>
    </row>
    <row r="81" spans="1:19" s="132" customFormat="1" x14ac:dyDescent="0.2">
      <c r="A81" s="122" t="s">
        <v>513</v>
      </c>
      <c r="B81" s="122"/>
      <c r="C81" s="122"/>
      <c r="D81" s="122">
        <f>D76+D77+D79</f>
        <v>220</v>
      </c>
      <c r="E81" s="122" t="s">
        <v>131</v>
      </c>
      <c r="F81" s="44"/>
      <c r="G81" s="44"/>
      <c r="H81" s="44"/>
      <c r="I81" s="44"/>
      <c r="O81" s="157"/>
      <c r="Q81" s="69"/>
    </row>
    <row r="82" spans="1:19" x14ac:dyDescent="0.2">
      <c r="A82" s="16"/>
      <c r="B82" s="16"/>
      <c r="C82" s="16"/>
      <c r="D82" s="16"/>
      <c r="E82" s="16"/>
      <c r="F82" s="16"/>
      <c r="G82" s="16"/>
      <c r="I82" s="16"/>
    </row>
    <row r="83" spans="1:19" x14ac:dyDescent="0.2">
      <c r="A83" s="16"/>
      <c r="B83" s="16"/>
      <c r="C83" s="16"/>
      <c r="D83" s="16"/>
      <c r="E83" s="16"/>
      <c r="F83" s="16"/>
      <c r="G83" s="16"/>
      <c r="I83" s="16"/>
    </row>
    <row r="84" spans="1:19" x14ac:dyDescent="0.2">
      <c r="A84" s="74" t="s">
        <v>522</v>
      </c>
      <c r="B84" s="74"/>
      <c r="C84" s="74"/>
      <c r="D84" s="74"/>
      <c r="E84" s="74"/>
      <c r="F84" s="16"/>
      <c r="G84" s="16"/>
      <c r="I84" s="16"/>
    </row>
    <row r="85" spans="1:19" x14ac:dyDescent="0.2">
      <c r="A85" s="81"/>
      <c r="B85" s="81"/>
      <c r="C85" s="81"/>
      <c r="D85" s="16"/>
      <c r="E85" s="16"/>
      <c r="F85" s="16"/>
      <c r="G85" s="16"/>
      <c r="I85" s="16"/>
    </row>
    <row r="86" spans="1:19" x14ac:dyDescent="0.2">
      <c r="A86" s="16" t="s">
        <v>68</v>
      </c>
      <c r="B86" s="16"/>
      <c r="C86" s="16"/>
      <c r="D86" s="16">
        <f>+D30</f>
        <v>27574.756517090907</v>
      </c>
      <c r="E86" s="16" t="s">
        <v>37</v>
      </c>
      <c r="F86" s="16"/>
      <c r="G86" s="16"/>
      <c r="I86" s="16"/>
      <c r="J86" s="63"/>
    </row>
    <row r="87" spans="1:19" x14ac:dyDescent="0.2">
      <c r="A87" s="16" t="s">
        <v>58</v>
      </c>
      <c r="B87" s="16"/>
      <c r="C87" s="16"/>
      <c r="D87" s="16">
        <f>+D46</f>
        <v>16749.02</v>
      </c>
      <c r="E87" s="16" t="s">
        <v>37</v>
      </c>
      <c r="F87" s="16"/>
      <c r="G87" s="16"/>
      <c r="I87" s="16"/>
      <c r="J87" s="63"/>
    </row>
    <row r="88" spans="1:19" x14ac:dyDescent="0.2">
      <c r="A88" s="16" t="s">
        <v>67</v>
      </c>
      <c r="B88" s="16"/>
      <c r="C88" s="16"/>
      <c r="D88" s="98">
        <f>D59</f>
        <v>662.85111111111109</v>
      </c>
      <c r="E88" s="16" t="s">
        <v>37</v>
      </c>
      <c r="F88" s="16"/>
      <c r="G88" s="16"/>
      <c r="I88" s="16"/>
      <c r="J88" s="63"/>
    </row>
    <row r="89" spans="1:19" x14ac:dyDescent="0.2">
      <c r="A89" s="44" t="s">
        <v>519</v>
      </c>
      <c r="B89" s="16"/>
      <c r="C89" s="16"/>
      <c r="D89" s="98">
        <f>D81</f>
        <v>220</v>
      </c>
      <c r="E89" s="16" t="s">
        <v>37</v>
      </c>
      <c r="F89" s="16"/>
      <c r="G89" s="16"/>
      <c r="I89" s="16"/>
      <c r="J89" s="63"/>
      <c r="K89" s="63"/>
    </row>
    <row r="90" spans="1:19" x14ac:dyDescent="0.2">
      <c r="A90" s="16"/>
      <c r="B90" s="16"/>
      <c r="C90" s="16"/>
      <c r="D90" s="98"/>
      <c r="E90" s="16"/>
      <c r="F90" s="16"/>
      <c r="G90" s="16"/>
      <c r="I90" s="16"/>
    </row>
    <row r="91" spans="1:19" x14ac:dyDescent="0.2">
      <c r="A91" s="33" t="s">
        <v>193</v>
      </c>
      <c r="B91" s="33"/>
      <c r="C91" s="33"/>
      <c r="D91" s="33">
        <f>SUM(D86:D89)</f>
        <v>45206.627628202026</v>
      </c>
      <c r="E91" s="33" t="s">
        <v>131</v>
      </c>
      <c r="F91" s="16"/>
      <c r="G91" s="16"/>
      <c r="I91" s="16"/>
    </row>
    <row r="92" spans="1:19" x14ac:dyDescent="0.2">
      <c r="A92" s="16"/>
      <c r="B92" s="16"/>
      <c r="C92" s="16"/>
      <c r="D92" s="16" t="s">
        <v>8</v>
      </c>
      <c r="E92" s="16"/>
      <c r="F92" s="16"/>
      <c r="G92" s="16"/>
      <c r="I92" s="16"/>
    </row>
    <row r="93" spans="1:19" s="103" customFormat="1" x14ac:dyDescent="0.2">
      <c r="A93" s="122" t="s">
        <v>391</v>
      </c>
      <c r="B93" s="176">
        <f>BDI!C12/100</f>
        <v>0.29712344612244879</v>
      </c>
      <c r="C93" s="122"/>
      <c r="D93" s="165">
        <f>D95-D91</f>
        <v>13431.948988465687</v>
      </c>
      <c r="E93" s="122" t="s">
        <v>131</v>
      </c>
      <c r="F93" s="16"/>
      <c r="G93" s="16"/>
      <c r="H93" s="165"/>
      <c r="I93" s="122"/>
      <c r="J93" s="40"/>
      <c r="K93" s="69"/>
      <c r="Q93" s="174"/>
      <c r="S93" s="146"/>
    </row>
    <row r="94" spans="1:19" x14ac:dyDescent="0.2">
      <c r="A94" s="16"/>
      <c r="B94" s="16"/>
      <c r="C94" s="16"/>
      <c r="D94" s="16"/>
      <c r="E94" s="16"/>
      <c r="F94" s="16"/>
      <c r="G94" s="16"/>
      <c r="H94" s="153"/>
      <c r="I94" s="154"/>
      <c r="J94" s="16"/>
    </row>
    <row r="95" spans="1:19" x14ac:dyDescent="0.2">
      <c r="A95" s="87" t="s">
        <v>392</v>
      </c>
      <c r="B95" s="90"/>
      <c r="C95" s="90"/>
      <c r="D95" s="33">
        <f>D91*BDI!C20</f>
        <v>58638.576616667713</v>
      </c>
      <c r="E95" s="33" t="s">
        <v>37</v>
      </c>
      <c r="F95" s="16"/>
      <c r="G95" s="16"/>
      <c r="H95" s="152"/>
      <c r="I95" s="151"/>
      <c r="J95" s="16"/>
      <c r="K95" s="89"/>
    </row>
    <row r="96" spans="1:19" ht="12.75" customHeight="1" x14ac:dyDescent="0.2">
      <c r="A96" s="88" t="s">
        <v>393</v>
      </c>
      <c r="B96" s="33"/>
      <c r="C96" s="33"/>
      <c r="D96" s="249">
        <v>469.43999999999994</v>
      </c>
      <c r="E96" s="33" t="s">
        <v>230</v>
      </c>
      <c r="F96" s="16"/>
      <c r="G96" s="16"/>
      <c r="I96" s="16"/>
    </row>
    <row r="97" spans="1:9" ht="14.25" customHeight="1" x14ac:dyDescent="0.2">
      <c r="A97" s="88" t="s">
        <v>310</v>
      </c>
      <c r="B97" s="33"/>
      <c r="C97" s="33"/>
      <c r="D97" s="33">
        <f>ROUND(D95/D96,2)</f>
        <v>124.91</v>
      </c>
      <c r="E97" s="90" t="s">
        <v>591</v>
      </c>
      <c r="F97" s="16"/>
      <c r="G97" s="16"/>
      <c r="H97" s="63"/>
      <c r="I97" s="16"/>
    </row>
    <row r="98" spans="1:9" x14ac:dyDescent="0.2">
      <c r="A98" s="16"/>
      <c r="B98" s="16"/>
      <c r="C98" s="16"/>
      <c r="D98" s="16"/>
      <c r="E98" s="16"/>
      <c r="F98" s="153"/>
      <c r="G98" s="154"/>
      <c r="I98" s="16"/>
    </row>
    <row r="99" spans="1:9" x14ac:dyDescent="0.2">
      <c r="A99" s="95"/>
      <c r="B99" s="95"/>
      <c r="C99" s="95"/>
      <c r="F99" s="152"/>
      <c r="G99" s="151"/>
      <c r="I99" s="16"/>
    </row>
    <row r="100" spans="1:9" x14ac:dyDescent="0.2">
      <c r="F100" s="16"/>
      <c r="G100" s="16"/>
      <c r="I100" s="16"/>
    </row>
    <row r="101" spans="1:9" x14ac:dyDescent="0.2">
      <c r="F101" s="11"/>
      <c r="G101" s="16"/>
      <c r="I101" s="16"/>
    </row>
    <row r="102" spans="1:9" x14ac:dyDescent="0.2">
      <c r="D102" s="16"/>
      <c r="F102" s="16"/>
      <c r="G102" s="16"/>
    </row>
    <row r="103" spans="1:9" x14ac:dyDescent="0.2">
      <c r="G103" s="16"/>
    </row>
    <row r="104" spans="1:9" x14ac:dyDescent="0.2">
      <c r="G104" s="16"/>
    </row>
    <row r="105" spans="1:9" x14ac:dyDescent="0.2">
      <c r="D105" s="96"/>
      <c r="G105" s="16"/>
    </row>
  </sheetData>
  <mergeCells count="4">
    <mergeCell ref="A1:E1"/>
    <mergeCell ref="A2:E2"/>
    <mergeCell ref="A4:B4"/>
    <mergeCell ref="A8:E8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colBreaks count="1" manualBreakCount="1">
    <brk id="7" max="1048575" man="1"/>
  </col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105"/>
  <sheetViews>
    <sheetView view="pageBreakPreview" topLeftCell="A81" zoomScaleNormal="100" zoomScaleSheetLayoutView="100" workbookViewId="0">
      <selection activeCell="D10" sqref="D10"/>
    </sheetView>
  </sheetViews>
  <sheetFormatPr defaultColWidth="12" defaultRowHeight="12.75" x14ac:dyDescent="0.2"/>
  <cols>
    <col min="1" max="1" width="50.83203125" style="13" customWidth="1"/>
    <col min="2" max="2" width="10.83203125" style="13" customWidth="1"/>
    <col min="3" max="3" width="7.83203125" style="13" customWidth="1"/>
    <col min="4" max="4" width="14.83203125" style="13" customWidth="1"/>
    <col min="5" max="5" width="20.83203125" style="13" customWidth="1"/>
    <col min="6" max="6" width="14.83203125" style="13" customWidth="1"/>
    <col min="7" max="7" width="17" style="13" customWidth="1"/>
    <col min="8" max="8" width="16.6640625" style="16" customWidth="1"/>
    <col min="9" max="9" width="6.6640625" style="13" customWidth="1"/>
    <col min="10" max="16384" width="12" style="11"/>
  </cols>
  <sheetData>
    <row r="1" spans="1:9" ht="18.75" hidden="1" x14ac:dyDescent="0.3">
      <c r="A1" s="338" t="s">
        <v>226</v>
      </c>
      <c r="B1" s="338"/>
      <c r="C1" s="338"/>
      <c r="D1" s="338"/>
      <c r="E1" s="338"/>
      <c r="F1" s="10"/>
      <c r="G1" s="11"/>
      <c r="H1" s="10"/>
      <c r="I1" s="11"/>
    </row>
    <row r="2" spans="1:9" ht="18" hidden="1" customHeight="1" x14ac:dyDescent="0.25">
      <c r="A2" s="338"/>
      <c r="B2" s="338"/>
      <c r="C2" s="338"/>
      <c r="D2" s="338"/>
      <c r="E2" s="338"/>
      <c r="F2" s="12"/>
      <c r="G2" s="11"/>
      <c r="H2" s="12"/>
      <c r="I2" s="11"/>
    </row>
    <row r="3" spans="1:9" hidden="1" x14ac:dyDescent="0.2">
      <c r="G3" s="11"/>
      <c r="H3" s="13"/>
      <c r="I3" s="11"/>
    </row>
    <row r="4" spans="1:9" hidden="1" x14ac:dyDescent="0.2">
      <c r="A4" s="357"/>
      <c r="B4" s="357"/>
      <c r="G4" s="11"/>
      <c r="H4" s="13"/>
      <c r="I4" s="11"/>
    </row>
    <row r="5" spans="1:9" hidden="1" x14ac:dyDescent="0.2">
      <c r="G5" s="11"/>
      <c r="H5" s="13"/>
      <c r="I5" s="11"/>
    </row>
    <row r="6" spans="1:9" hidden="1" x14ac:dyDescent="0.2">
      <c r="A6" s="289" t="s">
        <v>228</v>
      </c>
      <c r="D6" s="289" t="s">
        <v>222</v>
      </c>
      <c r="G6" s="11"/>
      <c r="H6" s="13"/>
      <c r="I6" s="11"/>
    </row>
    <row r="7" spans="1:9" x14ac:dyDescent="0.2">
      <c r="F7" s="72"/>
      <c r="G7" s="11"/>
      <c r="H7" s="13"/>
      <c r="I7" s="11"/>
    </row>
    <row r="8" spans="1:9" x14ac:dyDescent="0.2">
      <c r="A8" s="339" t="s">
        <v>0</v>
      </c>
      <c r="B8" s="339"/>
      <c r="C8" s="339"/>
      <c r="D8" s="339"/>
      <c r="E8" s="339"/>
      <c r="F8" s="16"/>
      <c r="G8" s="16"/>
      <c r="H8" s="72"/>
      <c r="I8" s="11"/>
    </row>
    <row r="9" spans="1:9" x14ac:dyDescent="0.2">
      <c r="A9" s="16"/>
      <c r="B9" s="16"/>
      <c r="C9" s="16"/>
      <c r="D9" s="16"/>
      <c r="E9" s="16"/>
      <c r="F9" s="18"/>
      <c r="G9" s="18"/>
      <c r="I9" s="16"/>
    </row>
    <row r="10" spans="1:9" x14ac:dyDescent="0.2">
      <c r="A10" s="73" t="s">
        <v>662</v>
      </c>
      <c r="B10" s="73"/>
      <c r="C10" s="73"/>
      <c r="D10" s="18"/>
      <c r="E10" s="74"/>
      <c r="F10" s="18"/>
      <c r="G10" s="18"/>
      <c r="H10" s="18"/>
      <c r="I10" s="18"/>
    </row>
    <row r="11" spans="1:9" x14ac:dyDescent="0.2">
      <c r="A11" s="73"/>
      <c r="B11" s="73"/>
      <c r="C11" s="73"/>
      <c r="D11" s="18"/>
      <c r="E11" s="18"/>
      <c r="F11" s="18"/>
      <c r="G11" s="18"/>
      <c r="H11" s="18"/>
      <c r="I11" s="18"/>
    </row>
    <row r="12" spans="1:9" x14ac:dyDescent="0.2">
      <c r="A12" s="73"/>
      <c r="B12" s="73"/>
      <c r="C12" s="73"/>
      <c r="D12" s="18"/>
      <c r="E12" s="18"/>
      <c r="H12" s="18"/>
      <c r="I12" s="18"/>
    </row>
    <row r="13" spans="1:9" x14ac:dyDescent="0.2">
      <c r="A13" s="86" t="s">
        <v>34</v>
      </c>
      <c r="B13" s="84"/>
      <c r="C13" s="84"/>
      <c r="D13" s="16"/>
      <c r="E13" s="16"/>
      <c r="I13" s="16"/>
    </row>
    <row r="14" spans="1:9" x14ac:dyDescent="0.2">
      <c r="A14" s="16"/>
      <c r="B14" s="16"/>
      <c r="C14" s="16"/>
      <c r="D14" s="91" t="s">
        <v>442</v>
      </c>
      <c r="E14" s="91"/>
      <c r="F14" s="91" t="s">
        <v>441</v>
      </c>
      <c r="G14" s="16"/>
      <c r="I14" s="16"/>
    </row>
    <row r="15" spans="1:9" x14ac:dyDescent="0.2">
      <c r="A15" s="76" t="s">
        <v>88</v>
      </c>
      <c r="B15" s="76"/>
      <c r="C15" s="76"/>
      <c r="D15" s="16">
        <v>2</v>
      </c>
      <c r="E15" s="16" t="s">
        <v>35</v>
      </c>
      <c r="F15" s="16"/>
      <c r="G15" s="16" t="s">
        <v>35</v>
      </c>
      <c r="H15" s="16" t="s">
        <v>8</v>
      </c>
      <c r="I15" s="16"/>
    </row>
    <row r="16" spans="1:9" x14ac:dyDescent="0.2">
      <c r="A16" s="76" t="s">
        <v>482</v>
      </c>
      <c r="B16" s="65"/>
      <c r="C16" s="65"/>
      <c r="D16" s="16">
        <f>COLETOR!B32</f>
        <v>3512.0801999999999</v>
      </c>
      <c r="E16" s="65" t="s">
        <v>36</v>
      </c>
      <c r="F16" s="16">
        <f>+COLETOR!B59</f>
        <v>3820.9422199999999</v>
      </c>
      <c r="G16" s="65" t="s">
        <v>36</v>
      </c>
      <c r="I16" s="16"/>
    </row>
    <row r="17" spans="1:9" x14ac:dyDescent="0.2">
      <c r="A17" s="65" t="s">
        <v>481</v>
      </c>
      <c r="B17" s="65"/>
      <c r="C17" s="65"/>
      <c r="D17" s="16">
        <f>ROUND((((D15*(D16/220)*1.5)*4*4)),2)</f>
        <v>766.27</v>
      </c>
      <c r="E17" s="16" t="s">
        <v>37</v>
      </c>
      <c r="F17" s="16">
        <f>ROUND((((F15*(F16/220)*1.5)*4*4)+(F15*((F16/220)*2)*8*1)),2)</f>
        <v>0</v>
      </c>
      <c r="G17" s="16" t="s">
        <v>37</v>
      </c>
      <c r="I17" s="16"/>
    </row>
    <row r="18" spans="1:9" x14ac:dyDescent="0.2">
      <c r="A18" s="76" t="s">
        <v>47</v>
      </c>
      <c r="B18" s="76"/>
      <c r="C18" s="76"/>
      <c r="D18" s="16">
        <f>(D15*D16)+D17</f>
        <v>7790.4303999999993</v>
      </c>
      <c r="E18" s="16" t="s">
        <v>43</v>
      </c>
      <c r="F18" s="16">
        <f>(F15*F16)+F17</f>
        <v>0</v>
      </c>
      <c r="G18" s="16" t="s">
        <v>43</v>
      </c>
      <c r="I18" s="16"/>
    </row>
    <row r="19" spans="1:9" x14ac:dyDescent="0.2">
      <c r="A19" s="65"/>
      <c r="B19" s="65"/>
      <c r="C19" s="65"/>
      <c r="D19" s="16"/>
      <c r="E19" s="16"/>
      <c r="I19" s="16"/>
    </row>
    <row r="20" spans="1:9" x14ac:dyDescent="0.2">
      <c r="A20" s="65" t="s">
        <v>38</v>
      </c>
      <c r="B20" s="65"/>
      <c r="C20" s="65"/>
      <c r="D20" s="16"/>
      <c r="E20" s="16" t="s">
        <v>35</v>
      </c>
      <c r="F20" s="16">
        <v>0</v>
      </c>
      <c r="G20" s="16" t="s">
        <v>35</v>
      </c>
      <c r="I20" s="16"/>
    </row>
    <row r="21" spans="1:9" x14ac:dyDescent="0.2">
      <c r="A21" s="16" t="s">
        <v>39</v>
      </c>
      <c r="B21" s="16"/>
      <c r="C21" s="16"/>
      <c r="D21" s="16">
        <f>'ENC I'!B32</f>
        <v>5896.6907724273269</v>
      </c>
      <c r="E21" s="16" t="s">
        <v>36</v>
      </c>
      <c r="F21" s="16">
        <f>'ENC I'!B59</f>
        <v>6317.4516010755824</v>
      </c>
      <c r="G21" s="65" t="s">
        <v>36</v>
      </c>
      <c r="I21" s="16"/>
    </row>
    <row r="22" spans="1:9" x14ac:dyDescent="0.2">
      <c r="A22" s="76" t="s">
        <v>42</v>
      </c>
      <c r="B22" s="76"/>
      <c r="C22" s="76"/>
      <c r="D22" s="16">
        <f>+D21*D20</f>
        <v>0</v>
      </c>
      <c r="E22" s="16" t="s">
        <v>37</v>
      </c>
      <c r="F22" s="16"/>
      <c r="G22" s="16" t="s">
        <v>37</v>
      </c>
      <c r="I22" s="16"/>
    </row>
    <row r="23" spans="1:9" x14ac:dyDescent="0.2">
      <c r="A23" s="16" t="s">
        <v>48</v>
      </c>
      <c r="B23" s="16"/>
      <c r="C23" s="16"/>
      <c r="D23" s="16">
        <f>D22</f>
        <v>0</v>
      </c>
      <c r="E23" s="16" t="s">
        <v>43</v>
      </c>
      <c r="F23" s="16"/>
      <c r="G23" s="16" t="s">
        <v>43</v>
      </c>
      <c r="I23" s="16"/>
    </row>
    <row r="24" spans="1:9" x14ac:dyDescent="0.2">
      <c r="A24" s="16"/>
      <c r="B24" s="16"/>
      <c r="C24" s="16"/>
      <c r="D24" s="16"/>
      <c r="E24" s="16"/>
      <c r="F24" s="16"/>
      <c r="I24" s="16"/>
    </row>
    <row r="25" spans="1:9" x14ac:dyDescent="0.2">
      <c r="A25" s="65" t="s">
        <v>49</v>
      </c>
      <c r="B25" s="65"/>
      <c r="C25" s="65"/>
      <c r="D25" s="16">
        <v>4</v>
      </c>
      <c r="E25" s="16" t="s">
        <v>35</v>
      </c>
      <c r="F25" s="16"/>
      <c r="G25" s="16" t="s">
        <v>35</v>
      </c>
      <c r="I25" s="16"/>
    </row>
    <row r="26" spans="1:9" x14ac:dyDescent="0.2">
      <c r="A26" s="76" t="s">
        <v>484</v>
      </c>
      <c r="B26" s="65"/>
      <c r="C26" s="65"/>
      <c r="D26" s="16">
        <f>MOTORISTA!B32</f>
        <v>5407.0828585454556</v>
      </c>
      <c r="E26" s="16" t="s">
        <v>36</v>
      </c>
      <c r="F26" s="16">
        <f>+MOTORISTA!B58</f>
        <v>6029.6182158636366</v>
      </c>
      <c r="G26" s="65" t="s">
        <v>36</v>
      </c>
      <c r="I26" s="16" t="s">
        <v>304</v>
      </c>
    </row>
    <row r="27" spans="1:9" x14ac:dyDescent="0.2">
      <c r="A27" s="65" t="s">
        <v>481</v>
      </c>
      <c r="B27" s="65"/>
      <c r="C27" s="65"/>
      <c r="D27" s="16">
        <f>ROUND((((D25*(D26/220)*1.5)*4*4)),2)</f>
        <v>2359.4499999999998</v>
      </c>
      <c r="E27" s="16" t="s">
        <v>37</v>
      </c>
      <c r="F27" s="16">
        <f>ROUND((((F25*(F26/220)*1.5)*4*4)+(F25*((F26/220)*2)*8*1)),2)</f>
        <v>0</v>
      </c>
      <c r="G27" s="16" t="s">
        <v>37</v>
      </c>
      <c r="I27" s="16"/>
    </row>
    <row r="28" spans="1:9" x14ac:dyDescent="0.2">
      <c r="A28" s="76" t="s">
        <v>52</v>
      </c>
      <c r="B28" s="76"/>
      <c r="C28" s="76"/>
      <c r="D28" s="16">
        <f>(D25*D26)+D27</f>
        <v>23987.781434181823</v>
      </c>
      <c r="E28" s="16" t="s">
        <v>43</v>
      </c>
      <c r="F28" s="16">
        <f>(F25*F26)+F27</f>
        <v>0</v>
      </c>
      <c r="G28" s="16" t="s">
        <v>43</v>
      </c>
      <c r="I28" s="16"/>
    </row>
    <row r="29" spans="1:9" x14ac:dyDescent="0.2">
      <c r="A29" s="16"/>
      <c r="B29" s="16"/>
      <c r="C29" s="16"/>
      <c r="D29" s="16"/>
      <c r="E29" s="16"/>
      <c r="G29" s="16"/>
      <c r="I29" s="16"/>
    </row>
    <row r="30" spans="1:9" x14ac:dyDescent="0.2">
      <c r="A30" s="33" t="s">
        <v>199</v>
      </c>
      <c r="B30" s="33"/>
      <c r="C30" s="33"/>
      <c r="D30" s="33">
        <f>D18+D23+D28+F18+F28</f>
        <v>31778.21183418182</v>
      </c>
      <c r="E30" s="33" t="s">
        <v>131</v>
      </c>
      <c r="F30" s="16"/>
      <c r="G30" s="16"/>
      <c r="I30" s="16"/>
    </row>
    <row r="31" spans="1:9" x14ac:dyDescent="0.2">
      <c r="A31" s="16"/>
      <c r="B31" s="16"/>
      <c r="C31" s="16"/>
      <c r="D31" s="16"/>
      <c r="E31" s="16"/>
      <c r="F31" s="91"/>
      <c r="G31" s="16"/>
      <c r="I31" s="16"/>
    </row>
    <row r="32" spans="1:9" x14ac:dyDescent="0.2">
      <c r="A32" s="93" t="s">
        <v>87</v>
      </c>
      <c r="B32" s="81"/>
      <c r="C32" s="81"/>
      <c r="D32" s="16"/>
      <c r="E32" s="16"/>
      <c r="F32" s="16" t="s">
        <v>8</v>
      </c>
      <c r="G32" s="16"/>
      <c r="I32" s="16"/>
    </row>
    <row r="33" spans="1:9" x14ac:dyDescent="0.2">
      <c r="A33" s="16"/>
      <c r="B33" s="16"/>
      <c r="C33" s="16"/>
      <c r="D33" s="16"/>
      <c r="E33" s="16"/>
      <c r="F33" s="16"/>
      <c r="G33" s="16"/>
      <c r="I33" s="16"/>
    </row>
    <row r="34" spans="1:9" x14ac:dyDescent="0.2">
      <c r="A34" s="76" t="s">
        <v>656</v>
      </c>
      <c r="B34" s="76"/>
      <c r="C34" s="76"/>
      <c r="D34" s="16">
        <v>2</v>
      </c>
      <c r="E34" s="16" t="s">
        <v>35</v>
      </c>
      <c r="F34" s="16"/>
      <c r="G34" s="16" t="s">
        <v>35</v>
      </c>
      <c r="H34" s="16" t="s">
        <v>8</v>
      </c>
      <c r="I34" s="16"/>
    </row>
    <row r="35" spans="1:9" x14ac:dyDescent="0.2">
      <c r="A35" s="16" t="s">
        <v>329</v>
      </c>
      <c r="B35" s="16"/>
      <c r="C35" s="16"/>
      <c r="D35" s="16">
        <f>'basc 12m3'!B61</f>
        <v>9326.0567037044493</v>
      </c>
      <c r="E35" s="16" t="s">
        <v>36</v>
      </c>
      <c r="F35" s="16">
        <f>'BASCULANTE 6'!B63</f>
        <v>2342.8670364863997</v>
      </c>
      <c r="G35" s="16" t="s">
        <v>36</v>
      </c>
      <c r="I35" s="16"/>
    </row>
    <row r="36" spans="1:9" x14ac:dyDescent="0.2">
      <c r="A36" s="65" t="s">
        <v>657</v>
      </c>
      <c r="B36" s="65"/>
      <c r="C36" s="65"/>
      <c r="D36" s="16">
        <f>ROUND(+D35*D34,2)</f>
        <v>18652.11</v>
      </c>
      <c r="E36" s="16" t="s">
        <v>37</v>
      </c>
      <c r="F36" s="16">
        <f>ROUND(+F35*F34,2)</f>
        <v>0</v>
      </c>
      <c r="G36" s="16" t="s">
        <v>37</v>
      </c>
      <c r="I36" s="16"/>
    </row>
    <row r="37" spans="1:9" x14ac:dyDescent="0.2">
      <c r="A37" s="65"/>
      <c r="B37" s="65"/>
      <c r="C37" s="65"/>
      <c r="D37" s="16"/>
      <c r="E37" s="16"/>
      <c r="F37" s="16"/>
      <c r="G37" s="16"/>
      <c r="I37" s="16"/>
    </row>
    <row r="38" spans="1:9" x14ac:dyDescent="0.2">
      <c r="A38" s="76" t="s">
        <v>604</v>
      </c>
      <c r="B38" s="76"/>
      <c r="C38" s="76"/>
      <c r="D38" s="16">
        <v>2</v>
      </c>
      <c r="E38" s="16" t="s">
        <v>35</v>
      </c>
      <c r="F38" s="16"/>
      <c r="G38" s="16"/>
      <c r="H38" s="11"/>
      <c r="I38" s="11"/>
    </row>
    <row r="39" spans="1:9" x14ac:dyDescent="0.2">
      <c r="A39" s="16" t="s">
        <v>329</v>
      </c>
      <c r="B39" s="16"/>
      <c r="C39" s="16"/>
      <c r="D39" s="16">
        <f>(retro!D34*(8*26))</f>
        <v>31913.212484571028</v>
      </c>
      <c r="E39" s="16" t="s">
        <v>36</v>
      </c>
      <c r="F39" s="16"/>
      <c r="G39" s="16"/>
      <c r="H39" s="11"/>
      <c r="I39" s="11"/>
    </row>
    <row r="40" spans="1:9" x14ac:dyDescent="0.2">
      <c r="A40" s="76" t="s">
        <v>93</v>
      </c>
      <c r="B40" s="76"/>
      <c r="C40" s="76"/>
      <c r="D40" s="16">
        <f>ROUND(D39*D38,2)</f>
        <v>63826.42</v>
      </c>
      <c r="E40" s="16" t="s">
        <v>37</v>
      </c>
      <c r="F40" s="16"/>
      <c r="G40" s="16"/>
      <c r="H40" s="11"/>
      <c r="I40" s="11"/>
    </row>
    <row r="41" spans="1:9" hidden="1" x14ac:dyDescent="0.2">
      <c r="A41" s="76"/>
      <c r="B41" s="76"/>
      <c r="C41" s="76"/>
      <c r="D41" s="16"/>
      <c r="E41" s="16"/>
      <c r="F41" s="16"/>
      <c r="G41" s="16"/>
      <c r="H41" s="11"/>
      <c r="I41" s="11"/>
    </row>
    <row r="42" spans="1:9" hidden="1" x14ac:dyDescent="0.2">
      <c r="A42" s="76" t="s">
        <v>560</v>
      </c>
      <c r="B42" s="76"/>
      <c r="C42" s="76"/>
      <c r="D42" s="16"/>
      <c r="E42" s="16" t="s">
        <v>35</v>
      </c>
      <c r="F42" s="16"/>
      <c r="G42" s="16"/>
      <c r="H42" s="11"/>
      <c r="I42" s="11"/>
    </row>
    <row r="43" spans="1:9" hidden="1" x14ac:dyDescent="0.2">
      <c r="A43" s="16" t="s">
        <v>561</v>
      </c>
      <c r="B43" s="16"/>
      <c r="C43" s="16"/>
      <c r="D43" s="16"/>
      <c r="E43" s="16" t="s">
        <v>36</v>
      </c>
      <c r="F43" s="16"/>
      <c r="G43" s="16"/>
      <c r="H43" s="11"/>
      <c r="I43" s="11"/>
    </row>
    <row r="44" spans="1:9" hidden="1" x14ac:dyDescent="0.2">
      <c r="A44" s="76" t="s">
        <v>54</v>
      </c>
      <c r="B44" s="76"/>
      <c r="C44" s="76"/>
      <c r="D44" s="16">
        <f>ROUND(+D43*D42,2)</f>
        <v>0</v>
      </c>
      <c r="E44" s="16" t="s">
        <v>37</v>
      </c>
      <c r="F44" s="16"/>
      <c r="G44" s="16"/>
      <c r="H44" s="11"/>
      <c r="I44" s="11"/>
    </row>
    <row r="45" spans="1:9" x14ac:dyDescent="0.2">
      <c r="A45" s="16"/>
      <c r="B45" s="16"/>
      <c r="C45" s="16"/>
      <c r="D45" s="16"/>
      <c r="E45" s="16"/>
      <c r="F45" s="16"/>
      <c r="G45" s="16"/>
      <c r="I45" s="16"/>
    </row>
    <row r="46" spans="1:9" x14ac:dyDescent="0.2">
      <c r="A46" s="33" t="s">
        <v>200</v>
      </c>
      <c r="B46" s="33"/>
      <c r="C46" s="33"/>
      <c r="D46" s="33">
        <f>D36+F36+D40+D44</f>
        <v>82478.53</v>
      </c>
      <c r="E46" s="33" t="s">
        <v>131</v>
      </c>
      <c r="F46" s="16"/>
      <c r="G46" s="16"/>
      <c r="I46" s="16"/>
    </row>
    <row r="47" spans="1:9" x14ac:dyDescent="0.2">
      <c r="A47" s="16"/>
      <c r="B47" s="16"/>
      <c r="C47" s="16"/>
      <c r="D47" s="16"/>
      <c r="E47" s="16"/>
      <c r="F47" s="16"/>
      <c r="G47" s="16"/>
      <c r="I47" s="16"/>
    </row>
    <row r="48" spans="1:9" x14ac:dyDescent="0.2">
      <c r="A48" s="93" t="s">
        <v>521</v>
      </c>
      <c r="B48" s="81"/>
      <c r="C48" s="81"/>
      <c r="D48" s="82"/>
      <c r="E48" s="16"/>
      <c r="F48" s="16"/>
      <c r="G48" s="16"/>
      <c r="I48" s="11"/>
    </row>
    <row r="49" spans="1:17" x14ac:dyDescent="0.2">
      <c r="A49" s="81"/>
      <c r="B49" s="81"/>
      <c r="C49" s="81"/>
      <c r="D49" s="82"/>
      <c r="E49" s="16"/>
      <c r="F49" s="16"/>
      <c r="G49" s="11"/>
      <c r="I49" s="11"/>
    </row>
    <row r="50" spans="1:17" x14ac:dyDescent="0.2">
      <c r="A50" s="23" t="s">
        <v>127</v>
      </c>
      <c r="B50" s="226">
        <v>2</v>
      </c>
      <c r="C50" s="80" t="s">
        <v>114</v>
      </c>
      <c r="D50" s="16">
        <f>B50*PREÇOS!J6</f>
        <v>28.933333333333334</v>
      </c>
      <c r="E50" s="16" t="s">
        <v>37</v>
      </c>
      <c r="F50" s="16"/>
      <c r="G50" s="11"/>
      <c r="H50" s="97"/>
      <c r="I50" s="16"/>
    </row>
    <row r="51" spans="1:17" x14ac:dyDescent="0.2">
      <c r="A51" s="16" t="s">
        <v>116</v>
      </c>
      <c r="B51" s="226">
        <v>2</v>
      </c>
      <c r="C51" s="80" t="s">
        <v>114</v>
      </c>
      <c r="D51" s="16">
        <f>B51*PREÇOS!J5</f>
        <v>161</v>
      </c>
      <c r="E51" s="16" t="s">
        <v>37</v>
      </c>
      <c r="F51" s="16"/>
      <c r="G51" s="16"/>
      <c r="H51" s="92"/>
      <c r="I51" s="16"/>
    </row>
    <row r="52" spans="1:17" x14ac:dyDescent="0.2">
      <c r="A52" s="16" t="s">
        <v>117</v>
      </c>
      <c r="B52" s="226">
        <v>2</v>
      </c>
      <c r="C52" s="80" t="s">
        <v>114</v>
      </c>
      <c r="D52" s="16">
        <f>B52*PREÇOS!J8</f>
        <v>64.89</v>
      </c>
      <c r="E52" s="16" t="s">
        <v>37</v>
      </c>
      <c r="F52" s="16"/>
      <c r="G52" s="16"/>
      <c r="H52" s="92"/>
      <c r="I52" s="16"/>
    </row>
    <row r="53" spans="1:17" x14ac:dyDescent="0.2">
      <c r="A53" s="16" t="s">
        <v>118</v>
      </c>
      <c r="B53" s="226">
        <v>2</v>
      </c>
      <c r="C53" s="80" t="s">
        <v>114</v>
      </c>
      <c r="D53" s="16">
        <f>B53*PREÇOS!J7</f>
        <v>46.6</v>
      </c>
      <c r="E53" s="16" t="s">
        <v>37</v>
      </c>
      <c r="F53" s="16"/>
      <c r="G53" s="16"/>
      <c r="H53" s="92"/>
      <c r="I53" s="16"/>
    </row>
    <row r="54" spans="1:17" x14ac:dyDescent="0.2">
      <c r="A54" s="16" t="s">
        <v>119</v>
      </c>
      <c r="B54" s="226">
        <v>2</v>
      </c>
      <c r="C54" s="80" t="s">
        <v>114</v>
      </c>
      <c r="D54" s="16">
        <f>B54*PREÇOS!J9</f>
        <v>49.75555555555556</v>
      </c>
      <c r="E54" s="16" t="s">
        <v>37</v>
      </c>
      <c r="F54" s="16"/>
      <c r="G54" s="16"/>
      <c r="H54" s="92"/>
      <c r="I54" s="16"/>
    </row>
    <row r="55" spans="1:17" x14ac:dyDescent="0.2">
      <c r="A55" s="16" t="s">
        <v>124</v>
      </c>
      <c r="B55" s="226">
        <v>2</v>
      </c>
      <c r="C55" s="80" t="s">
        <v>114</v>
      </c>
      <c r="D55" s="16">
        <f>B55*PREÇOS!J12</f>
        <v>12.53888888888889</v>
      </c>
      <c r="E55" s="16" t="s">
        <v>37</v>
      </c>
      <c r="F55" s="16"/>
      <c r="G55" s="16"/>
      <c r="H55" s="92"/>
      <c r="I55" s="16"/>
    </row>
    <row r="56" spans="1:17" x14ac:dyDescent="0.2">
      <c r="A56" s="16" t="s">
        <v>104</v>
      </c>
      <c r="B56" s="226"/>
      <c r="C56" s="80" t="s">
        <v>114</v>
      </c>
      <c r="D56" s="16">
        <f>B56*PREÇOS!J14</f>
        <v>0</v>
      </c>
      <c r="E56" s="16" t="s">
        <v>37</v>
      </c>
      <c r="F56" s="16"/>
      <c r="G56" s="16"/>
      <c r="H56" s="92"/>
      <c r="I56" s="16"/>
    </row>
    <row r="57" spans="1:17" x14ac:dyDescent="0.2">
      <c r="A57" s="44" t="s">
        <v>493</v>
      </c>
      <c r="B57" s="222">
        <f>(D15+F15+D20+F20+D25+F25)*2*26</f>
        <v>312</v>
      </c>
      <c r="C57" s="125" t="s">
        <v>494</v>
      </c>
      <c r="D57" s="44">
        <f>B57*PREÇOS!J29</f>
        <v>109.19999999999999</v>
      </c>
      <c r="E57" s="44" t="s">
        <v>43</v>
      </c>
      <c r="F57" s="16"/>
      <c r="G57" s="16"/>
      <c r="H57" s="92"/>
      <c r="I57" s="16"/>
    </row>
    <row r="58" spans="1:17" x14ac:dyDescent="0.2">
      <c r="A58" s="16"/>
      <c r="B58" s="16"/>
      <c r="C58" s="16"/>
      <c r="D58" s="16"/>
      <c r="E58" s="16"/>
      <c r="F58" s="16"/>
      <c r="G58" s="16"/>
      <c r="I58" s="16"/>
    </row>
    <row r="59" spans="1:17" x14ac:dyDescent="0.2">
      <c r="A59" s="33" t="s">
        <v>197</v>
      </c>
      <c r="B59" s="33"/>
      <c r="C59" s="33"/>
      <c r="D59" s="33">
        <f>SUM(D50:D57)</f>
        <v>472.91777777777776</v>
      </c>
      <c r="E59" s="33" t="s">
        <v>131</v>
      </c>
      <c r="F59" s="16"/>
      <c r="G59" s="16"/>
      <c r="I59" s="16"/>
    </row>
    <row r="60" spans="1:17" x14ac:dyDescent="0.2">
      <c r="A60" s="16"/>
      <c r="B60" s="16"/>
      <c r="C60" s="16"/>
      <c r="D60" s="16"/>
      <c r="E60" s="16"/>
      <c r="F60" s="16"/>
      <c r="G60" s="16"/>
      <c r="I60" s="16"/>
    </row>
    <row r="61" spans="1:17" s="132" customFormat="1" x14ac:dyDescent="0.2">
      <c r="A61" s="127" t="s">
        <v>491</v>
      </c>
      <c r="B61" s="44"/>
      <c r="C61" s="44"/>
      <c r="D61" s="44"/>
      <c r="E61" s="44"/>
      <c r="F61" s="44"/>
      <c r="G61" s="44"/>
      <c r="H61" s="44"/>
      <c r="I61" s="44"/>
      <c r="O61" s="157"/>
      <c r="Q61" s="69"/>
    </row>
    <row r="62" spans="1:17" s="132" customFormat="1" x14ac:dyDescent="0.2">
      <c r="A62" s="127"/>
      <c r="B62" s="44"/>
      <c r="C62" s="44"/>
      <c r="D62" s="44"/>
      <c r="E62" s="44"/>
      <c r="F62" s="44"/>
      <c r="G62" s="44"/>
      <c r="H62" s="44"/>
      <c r="I62" s="44"/>
      <c r="O62" s="157"/>
      <c r="Q62" s="69"/>
    </row>
    <row r="63" spans="1:17" s="132" customFormat="1" x14ac:dyDescent="0.2">
      <c r="A63" s="225" t="s">
        <v>499</v>
      </c>
      <c r="B63" s="44"/>
      <c r="C63" s="44"/>
      <c r="D63" s="44"/>
      <c r="E63" s="44"/>
      <c r="F63" s="44"/>
      <c r="G63" s="44"/>
      <c r="H63" s="44"/>
      <c r="I63" s="44"/>
      <c r="O63" s="157"/>
      <c r="Q63" s="69"/>
    </row>
    <row r="64" spans="1:17" s="132" customFormat="1" x14ac:dyDescent="0.2">
      <c r="A64" s="225" t="s">
        <v>497</v>
      </c>
      <c r="B64" s="44"/>
      <c r="C64" s="44"/>
      <c r="D64" s="44">
        <v>110</v>
      </c>
      <c r="E64" s="44" t="s">
        <v>496</v>
      </c>
      <c r="F64" s="44"/>
      <c r="G64" s="44"/>
      <c r="H64" s="44"/>
      <c r="I64" s="44"/>
      <c r="O64" s="157"/>
      <c r="Q64" s="69"/>
    </row>
    <row r="65" spans="1:17" s="132" customFormat="1" x14ac:dyDescent="0.2">
      <c r="A65" s="225" t="s">
        <v>498</v>
      </c>
      <c r="B65" s="44"/>
      <c r="C65" s="44"/>
      <c r="D65" s="44">
        <v>110</v>
      </c>
      <c r="E65" s="44" t="s">
        <v>506</v>
      </c>
      <c r="F65" s="44"/>
      <c r="G65" s="44"/>
      <c r="H65" s="44"/>
      <c r="I65" s="44"/>
      <c r="O65" s="157"/>
      <c r="Q65" s="69"/>
    </row>
    <row r="66" spans="1:17" s="132" customFormat="1" x14ac:dyDescent="0.2">
      <c r="A66" s="225"/>
      <c r="B66" s="44"/>
      <c r="C66" s="44"/>
      <c r="D66" s="44"/>
      <c r="E66" s="44"/>
      <c r="F66" s="44"/>
      <c r="G66" s="44"/>
      <c r="H66" s="44"/>
      <c r="I66" s="44"/>
      <c r="O66" s="157"/>
      <c r="Q66" s="69"/>
    </row>
    <row r="67" spans="1:17" s="132" customFormat="1" x14ac:dyDescent="0.2">
      <c r="A67" s="225" t="s">
        <v>500</v>
      </c>
      <c r="B67" s="44"/>
      <c r="C67" s="44"/>
      <c r="D67" s="44"/>
      <c r="E67" s="44"/>
      <c r="F67" s="44"/>
      <c r="G67" s="44"/>
      <c r="H67" s="44"/>
      <c r="I67" s="44"/>
      <c r="O67" s="157"/>
      <c r="Q67" s="69"/>
    </row>
    <row r="68" spans="1:17" s="132" customFormat="1" x14ac:dyDescent="0.2">
      <c r="A68" s="225" t="s">
        <v>501</v>
      </c>
      <c r="B68" s="44"/>
      <c r="C68" s="44"/>
      <c r="D68" s="44">
        <v>800</v>
      </c>
      <c r="E68" s="44" t="s">
        <v>505</v>
      </c>
      <c r="F68" s="44"/>
      <c r="G68" s="44"/>
      <c r="H68" s="44"/>
      <c r="I68" s="44"/>
      <c r="O68" s="157"/>
      <c r="Q68" s="69"/>
    </row>
    <row r="69" spans="1:17" s="132" customFormat="1" x14ac:dyDescent="0.2">
      <c r="A69" s="225" t="s">
        <v>502</v>
      </c>
      <c r="B69" s="44"/>
      <c r="C69" s="44"/>
      <c r="D69" s="44">
        <v>60</v>
      </c>
      <c r="E69" s="44" t="s">
        <v>506</v>
      </c>
      <c r="F69" s="44"/>
      <c r="G69" s="44"/>
      <c r="H69" s="44"/>
      <c r="I69" s="44"/>
      <c r="O69" s="157"/>
      <c r="Q69" s="69"/>
    </row>
    <row r="70" spans="1:17" s="132" customFormat="1" x14ac:dyDescent="0.2">
      <c r="A70" s="225" t="s">
        <v>503</v>
      </c>
      <c r="B70" s="44"/>
      <c r="C70" s="44"/>
      <c r="D70" s="44">
        <v>30</v>
      </c>
      <c r="E70" s="44" t="s">
        <v>55</v>
      </c>
      <c r="F70" s="44"/>
      <c r="G70" s="44"/>
      <c r="H70" s="44"/>
      <c r="I70" s="44"/>
      <c r="O70" s="157"/>
      <c r="Q70" s="69"/>
    </row>
    <row r="71" spans="1:17" s="132" customFormat="1" x14ac:dyDescent="0.2">
      <c r="A71" s="44" t="s">
        <v>504</v>
      </c>
      <c r="B71" s="44"/>
      <c r="C71" s="44"/>
      <c r="D71" s="44">
        <f>(D68/D70)+D69</f>
        <v>86.666666666666671</v>
      </c>
      <c r="E71" s="44" t="s">
        <v>507</v>
      </c>
      <c r="F71" s="44"/>
      <c r="G71" s="44"/>
      <c r="H71" s="44"/>
      <c r="I71" s="44"/>
      <c r="O71" s="157"/>
      <c r="Q71" s="69"/>
    </row>
    <row r="72" spans="1:17" s="132" customFormat="1" x14ac:dyDescent="0.2">
      <c r="A72" s="44"/>
      <c r="B72" s="44"/>
      <c r="C72" s="44"/>
      <c r="D72" s="44"/>
      <c r="E72" s="44"/>
      <c r="F72" s="44"/>
      <c r="G72" s="44"/>
      <c r="H72" s="44"/>
      <c r="I72" s="44"/>
      <c r="O72" s="157"/>
      <c r="Q72" s="69"/>
    </row>
    <row r="73" spans="1:17" s="132" customFormat="1" x14ac:dyDescent="0.2">
      <c r="A73" s="44" t="s">
        <v>508</v>
      </c>
      <c r="B73" s="44"/>
      <c r="C73" s="44"/>
      <c r="D73" s="44"/>
      <c r="E73" s="44"/>
      <c r="F73" s="44"/>
      <c r="G73" s="44"/>
      <c r="H73" s="44"/>
      <c r="I73" s="44"/>
      <c r="O73" s="157"/>
      <c r="Q73" s="69"/>
    </row>
    <row r="74" spans="1:17" s="132" customFormat="1" x14ac:dyDescent="0.2">
      <c r="A74" s="44" t="s">
        <v>509</v>
      </c>
      <c r="B74" s="44"/>
      <c r="C74" s="44"/>
      <c r="D74" s="44">
        <v>2</v>
      </c>
      <c r="E74" s="44" t="s">
        <v>514</v>
      </c>
      <c r="F74" s="44"/>
      <c r="G74" s="44"/>
      <c r="H74" s="44"/>
      <c r="I74" s="44"/>
      <c r="O74" s="157"/>
      <c r="Q74" s="69"/>
    </row>
    <row r="75" spans="1:17" s="132" customFormat="1" x14ac:dyDescent="0.2">
      <c r="A75" s="44" t="s">
        <v>520</v>
      </c>
      <c r="B75" s="44"/>
      <c r="C75" s="44"/>
      <c r="D75" s="44">
        <v>0</v>
      </c>
      <c r="E75" s="44" t="s">
        <v>514</v>
      </c>
      <c r="F75" s="44"/>
      <c r="G75" s="44"/>
      <c r="H75" s="44"/>
      <c r="I75" s="44"/>
      <c r="O75" s="157"/>
      <c r="Q75" s="69"/>
    </row>
    <row r="76" spans="1:17" s="132" customFormat="1" x14ac:dyDescent="0.2">
      <c r="A76" s="44" t="s">
        <v>516</v>
      </c>
      <c r="B76" s="44"/>
      <c r="C76" s="44"/>
      <c r="D76" s="44">
        <f>D64*D74</f>
        <v>220</v>
      </c>
      <c r="E76" s="44" t="s">
        <v>515</v>
      </c>
      <c r="F76" s="44"/>
      <c r="G76" s="44"/>
      <c r="H76" s="44"/>
      <c r="I76" s="44"/>
      <c r="O76" s="157"/>
      <c r="Q76" s="69"/>
    </row>
    <row r="77" spans="1:17" s="132" customFormat="1" x14ac:dyDescent="0.2">
      <c r="A77" s="44" t="s">
        <v>511</v>
      </c>
      <c r="B77" s="44"/>
      <c r="C77" s="44"/>
      <c r="D77" s="44">
        <f>D75*D65</f>
        <v>0</v>
      </c>
      <c r="E77" s="44" t="s">
        <v>506</v>
      </c>
      <c r="F77" s="44"/>
      <c r="G77" s="44"/>
      <c r="H77" s="44"/>
      <c r="I77" s="44"/>
      <c r="O77" s="157"/>
      <c r="Q77" s="69"/>
    </row>
    <row r="78" spans="1:17" s="132" customFormat="1" x14ac:dyDescent="0.2">
      <c r="A78" s="44" t="s">
        <v>512</v>
      </c>
      <c r="B78" s="44"/>
      <c r="C78" s="44"/>
      <c r="D78" s="44"/>
      <c r="E78" s="44" t="s">
        <v>514</v>
      </c>
      <c r="F78" s="44"/>
      <c r="G78" s="44"/>
      <c r="H78" s="44"/>
      <c r="I78" s="44"/>
      <c r="O78" s="157"/>
      <c r="Q78" s="69"/>
    </row>
    <row r="79" spans="1:17" s="132" customFormat="1" x14ac:dyDescent="0.2">
      <c r="A79" s="44" t="s">
        <v>517</v>
      </c>
      <c r="B79" s="44"/>
      <c r="C79" s="44"/>
      <c r="D79" s="44">
        <f>D71*D78</f>
        <v>0</v>
      </c>
      <c r="E79" s="44" t="s">
        <v>518</v>
      </c>
      <c r="F79" s="44"/>
      <c r="G79" s="44"/>
      <c r="H79" s="44"/>
      <c r="I79" s="44"/>
      <c r="O79" s="157"/>
      <c r="Q79" s="69"/>
    </row>
    <row r="80" spans="1:17" s="132" customFormat="1" x14ac:dyDescent="0.2">
      <c r="A80" s="44"/>
      <c r="B80" s="44"/>
      <c r="C80" s="44"/>
      <c r="D80" s="44"/>
      <c r="E80" s="44"/>
      <c r="F80" s="44"/>
      <c r="G80" s="44"/>
      <c r="H80" s="44"/>
      <c r="I80" s="44"/>
      <c r="O80" s="157"/>
      <c r="Q80" s="69"/>
    </row>
    <row r="81" spans="1:19" s="132" customFormat="1" x14ac:dyDescent="0.2">
      <c r="A81" s="122" t="s">
        <v>513</v>
      </c>
      <c r="B81" s="122"/>
      <c r="C81" s="122"/>
      <c r="D81" s="122">
        <f>D76+D77+D79</f>
        <v>220</v>
      </c>
      <c r="E81" s="122" t="s">
        <v>131</v>
      </c>
      <c r="F81" s="44"/>
      <c r="G81" s="44"/>
      <c r="H81" s="44"/>
      <c r="I81" s="44"/>
      <c r="O81" s="157"/>
      <c r="Q81" s="69"/>
    </row>
    <row r="82" spans="1:19" x14ac:dyDescent="0.2">
      <c r="A82" s="16"/>
      <c r="B82" s="16"/>
      <c r="C82" s="16"/>
      <c r="D82" s="16"/>
      <c r="E82" s="16"/>
      <c r="F82" s="16"/>
      <c r="G82" s="16"/>
      <c r="I82" s="16"/>
    </row>
    <row r="83" spans="1:19" x14ac:dyDescent="0.2">
      <c r="A83" s="16"/>
      <c r="B83" s="16"/>
      <c r="C83" s="16"/>
      <c r="D83" s="16"/>
      <c r="E83" s="16"/>
      <c r="F83" s="16"/>
      <c r="G83" s="16"/>
      <c r="I83" s="16"/>
    </row>
    <row r="84" spans="1:19" x14ac:dyDescent="0.2">
      <c r="A84" s="74" t="s">
        <v>522</v>
      </c>
      <c r="B84" s="74"/>
      <c r="C84" s="74"/>
      <c r="D84" s="74"/>
      <c r="E84" s="74"/>
      <c r="F84" s="16"/>
      <c r="G84" s="16"/>
      <c r="I84" s="16"/>
    </row>
    <row r="85" spans="1:19" x14ac:dyDescent="0.2">
      <c r="A85" s="81"/>
      <c r="B85" s="81"/>
      <c r="C85" s="81"/>
      <c r="D85" s="16"/>
      <c r="E85" s="16"/>
      <c r="F85" s="16"/>
      <c r="G85" s="16"/>
      <c r="I85" s="16"/>
    </row>
    <row r="86" spans="1:19" x14ac:dyDescent="0.2">
      <c r="A86" s="16" t="s">
        <v>68</v>
      </c>
      <c r="B86" s="16"/>
      <c r="C86" s="16"/>
      <c r="D86" s="16">
        <f>+D30</f>
        <v>31778.21183418182</v>
      </c>
      <c r="E86" s="16" t="s">
        <v>37</v>
      </c>
      <c r="F86" s="16"/>
      <c r="G86" s="16"/>
      <c r="I86" s="16"/>
      <c r="J86" s="63"/>
    </row>
    <row r="87" spans="1:19" x14ac:dyDescent="0.2">
      <c r="A87" s="16" t="s">
        <v>58</v>
      </c>
      <c r="B87" s="16"/>
      <c r="C87" s="16"/>
      <c r="D87" s="16">
        <f>+D46</f>
        <v>82478.53</v>
      </c>
      <c r="E87" s="16" t="s">
        <v>37</v>
      </c>
      <c r="F87" s="16"/>
      <c r="G87" s="16"/>
      <c r="I87" s="16"/>
      <c r="J87" s="63"/>
    </row>
    <row r="88" spans="1:19" x14ac:dyDescent="0.2">
      <c r="A88" s="16" t="s">
        <v>67</v>
      </c>
      <c r="B88" s="16"/>
      <c r="C88" s="16"/>
      <c r="D88" s="98">
        <f>D59</f>
        <v>472.91777777777776</v>
      </c>
      <c r="E88" s="16" t="s">
        <v>37</v>
      </c>
      <c r="F88" s="16"/>
      <c r="G88" s="16"/>
      <c r="I88" s="16"/>
      <c r="J88" s="63"/>
    </row>
    <row r="89" spans="1:19" x14ac:dyDescent="0.2">
      <c r="A89" s="44" t="s">
        <v>519</v>
      </c>
      <c r="B89" s="16"/>
      <c r="C89" s="16"/>
      <c r="D89" s="98">
        <f>D81</f>
        <v>220</v>
      </c>
      <c r="E89" s="16" t="s">
        <v>37</v>
      </c>
      <c r="F89" s="16"/>
      <c r="G89" s="16"/>
      <c r="I89" s="16"/>
      <c r="J89" s="63"/>
      <c r="K89" s="63"/>
    </row>
    <row r="90" spans="1:19" x14ac:dyDescent="0.2">
      <c r="A90" s="16"/>
      <c r="B90" s="16"/>
      <c r="C90" s="16"/>
      <c r="D90" s="98"/>
      <c r="E90" s="16"/>
      <c r="F90" s="16"/>
      <c r="G90" s="16"/>
      <c r="I90" s="16"/>
    </row>
    <row r="91" spans="1:19" x14ac:dyDescent="0.2">
      <c r="A91" s="33" t="s">
        <v>193</v>
      </c>
      <c r="B91" s="33"/>
      <c r="C91" s="33"/>
      <c r="D91" s="33">
        <f>SUM(D86:D89)</f>
        <v>114949.65961195961</v>
      </c>
      <c r="E91" s="33" t="s">
        <v>131</v>
      </c>
      <c r="F91" s="16"/>
      <c r="G91" s="16"/>
      <c r="I91" s="16"/>
    </row>
    <row r="92" spans="1:19" x14ac:dyDescent="0.2">
      <c r="A92" s="16"/>
      <c r="B92" s="16"/>
      <c r="C92" s="16"/>
      <c r="D92" s="16" t="s">
        <v>8</v>
      </c>
      <c r="E92" s="16"/>
      <c r="F92" s="16"/>
      <c r="G92" s="16"/>
      <c r="I92" s="16"/>
    </row>
    <row r="93" spans="1:19" s="103" customFormat="1" x14ac:dyDescent="0.2">
      <c r="A93" s="122" t="s">
        <v>391</v>
      </c>
      <c r="B93" s="176">
        <f>BDI!C12/100</f>
        <v>0.29712344612244879</v>
      </c>
      <c r="C93" s="122"/>
      <c r="D93" s="165">
        <f>D95-D91</f>
        <v>34154.238994507919</v>
      </c>
      <c r="E93" s="122" t="s">
        <v>131</v>
      </c>
      <c r="F93" s="16"/>
      <c r="G93" s="16"/>
      <c r="H93" s="165"/>
      <c r="I93" s="122"/>
      <c r="J93" s="40"/>
      <c r="K93" s="69"/>
      <c r="Q93" s="174"/>
      <c r="S93" s="146"/>
    </row>
    <row r="94" spans="1:19" x14ac:dyDescent="0.2">
      <c r="A94" s="16"/>
      <c r="B94" s="16"/>
      <c r="C94" s="16"/>
      <c r="D94" s="16"/>
      <c r="E94" s="16"/>
      <c r="F94" s="16"/>
      <c r="G94" s="16"/>
      <c r="H94" s="153"/>
      <c r="I94" s="154"/>
      <c r="J94" s="16"/>
    </row>
    <row r="95" spans="1:19" x14ac:dyDescent="0.2">
      <c r="A95" s="87" t="s">
        <v>392</v>
      </c>
      <c r="B95" s="90"/>
      <c r="C95" s="90"/>
      <c r="D95" s="33">
        <f>D91*BDI!C20</f>
        <v>149103.89860646753</v>
      </c>
      <c r="E95" s="33" t="s">
        <v>37</v>
      </c>
      <c r="F95" s="16"/>
      <c r="G95" s="16"/>
      <c r="H95" s="152"/>
      <c r="I95" s="151"/>
      <c r="J95" s="16"/>
      <c r="K95" s="89"/>
    </row>
    <row r="96" spans="1:19" ht="12.75" customHeight="1" x14ac:dyDescent="0.2">
      <c r="A96" s="88" t="s">
        <v>393</v>
      </c>
      <c r="B96" s="33"/>
      <c r="C96" s="33"/>
      <c r="D96" s="249">
        <v>1043.1999999999998</v>
      </c>
      <c r="E96" s="33" t="s">
        <v>230</v>
      </c>
      <c r="F96" s="16"/>
      <c r="G96" s="16"/>
      <c r="I96" s="16"/>
    </row>
    <row r="97" spans="1:9" ht="14.25" customHeight="1" x14ac:dyDescent="0.2">
      <c r="A97" s="88" t="s">
        <v>310</v>
      </c>
      <c r="B97" s="33"/>
      <c r="C97" s="33"/>
      <c r="D97" s="33">
        <f>ROUND(D95/D96,2)</f>
        <v>142.93</v>
      </c>
      <c r="E97" s="90" t="s">
        <v>591</v>
      </c>
      <c r="F97" s="16"/>
      <c r="G97" s="16"/>
      <c r="H97" s="63"/>
      <c r="I97" s="16"/>
    </row>
    <row r="98" spans="1:9" x14ac:dyDescent="0.2">
      <c r="A98" s="16"/>
      <c r="B98" s="16"/>
      <c r="C98" s="16"/>
      <c r="D98" s="16"/>
      <c r="E98" s="16"/>
      <c r="F98" s="153"/>
      <c r="G98" s="154"/>
      <c r="I98" s="16"/>
    </row>
    <row r="99" spans="1:9" x14ac:dyDescent="0.2">
      <c r="A99" s="95"/>
      <c r="B99" s="95"/>
      <c r="C99" s="95"/>
      <c r="F99" s="152"/>
      <c r="G99" s="151"/>
      <c r="I99" s="16"/>
    </row>
    <row r="100" spans="1:9" x14ac:dyDescent="0.2">
      <c r="F100" s="16"/>
      <c r="G100" s="16"/>
      <c r="I100" s="16"/>
    </row>
    <row r="101" spans="1:9" x14ac:dyDescent="0.2">
      <c r="F101" s="11"/>
      <c r="G101" s="16"/>
      <c r="I101" s="16"/>
    </row>
    <row r="102" spans="1:9" x14ac:dyDescent="0.2">
      <c r="D102" s="16"/>
      <c r="F102" s="16"/>
      <c r="G102" s="16"/>
    </row>
    <row r="103" spans="1:9" x14ac:dyDescent="0.2">
      <c r="G103" s="16"/>
    </row>
    <row r="104" spans="1:9" x14ac:dyDescent="0.2">
      <c r="G104" s="16"/>
    </row>
    <row r="105" spans="1:9" x14ac:dyDescent="0.2">
      <c r="D105" s="96"/>
      <c r="G105" s="16"/>
    </row>
  </sheetData>
  <mergeCells count="4">
    <mergeCell ref="A1:E1"/>
    <mergeCell ref="A2:E2"/>
    <mergeCell ref="A4:B4"/>
    <mergeCell ref="A8:E8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rowBreaks count="1" manualBreakCount="1">
    <brk id="72" max="4" man="1"/>
  </rowBreaks>
  <colBreaks count="1" manualBreakCount="1">
    <brk id="5" max="1048575" man="1"/>
  </colBreak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00"/>
  <sheetViews>
    <sheetView view="pageBreakPreview" topLeftCell="A69" workbookViewId="0">
      <selection activeCell="F90" sqref="F90"/>
    </sheetView>
  </sheetViews>
  <sheetFormatPr defaultColWidth="12" defaultRowHeight="12.75" x14ac:dyDescent="0.2"/>
  <cols>
    <col min="1" max="1" width="50.83203125" style="13" customWidth="1"/>
    <col min="2" max="2" width="10.83203125" style="13" customWidth="1"/>
    <col min="3" max="3" width="7.83203125" style="13" customWidth="1"/>
    <col min="4" max="4" width="14.83203125" style="13" customWidth="1"/>
    <col min="5" max="5" width="10.83203125" style="13" customWidth="1"/>
    <col min="6" max="6" width="16.6640625" style="16" customWidth="1"/>
    <col min="7" max="7" width="6.6640625" style="13" customWidth="1"/>
    <col min="8" max="16384" width="12" style="11"/>
  </cols>
  <sheetData>
    <row r="1" spans="1:7" ht="18.75" hidden="1" x14ac:dyDescent="0.3">
      <c r="A1" s="338" t="s">
        <v>226</v>
      </c>
      <c r="B1" s="338"/>
      <c r="C1" s="338"/>
      <c r="D1" s="338"/>
      <c r="E1" s="338"/>
      <c r="F1" s="10"/>
      <c r="G1" s="11"/>
    </row>
    <row r="2" spans="1:7" ht="18" hidden="1" customHeight="1" x14ac:dyDescent="0.25">
      <c r="A2" s="338"/>
      <c r="B2" s="338"/>
      <c r="C2" s="338"/>
      <c r="D2" s="338"/>
      <c r="E2" s="338"/>
      <c r="F2" s="12"/>
      <c r="G2" s="11"/>
    </row>
    <row r="3" spans="1:7" hidden="1" x14ac:dyDescent="0.2">
      <c r="F3" s="13"/>
      <c r="G3" s="11"/>
    </row>
    <row r="4" spans="1:7" hidden="1" x14ac:dyDescent="0.2">
      <c r="F4" s="13"/>
      <c r="G4" s="11"/>
    </row>
    <row r="5" spans="1:7" hidden="1" x14ac:dyDescent="0.2">
      <c r="A5" s="14" t="s">
        <v>228</v>
      </c>
      <c r="D5" s="14" t="s">
        <v>222</v>
      </c>
      <c r="F5" s="13"/>
      <c r="G5" s="11"/>
    </row>
    <row r="6" spans="1:7" x14ac:dyDescent="0.2">
      <c r="F6" s="13"/>
      <c r="G6" s="11"/>
    </row>
    <row r="7" spans="1:7" x14ac:dyDescent="0.2">
      <c r="A7" s="339" t="s">
        <v>0</v>
      </c>
      <c r="B7" s="339"/>
      <c r="C7" s="339"/>
      <c r="D7" s="339"/>
      <c r="E7" s="339"/>
      <c r="F7" s="72"/>
      <c r="G7" s="11"/>
    </row>
    <row r="8" spans="1:7" x14ac:dyDescent="0.2">
      <c r="A8" s="16"/>
      <c r="B8" s="16"/>
      <c r="C8" s="16"/>
      <c r="D8" s="16"/>
      <c r="E8" s="16"/>
      <c r="G8" s="16"/>
    </row>
    <row r="9" spans="1:7" x14ac:dyDescent="0.2">
      <c r="A9" s="73" t="s">
        <v>663</v>
      </c>
      <c r="B9" s="73"/>
      <c r="C9" s="73"/>
      <c r="D9" s="18"/>
      <c r="E9" s="74"/>
      <c r="F9" s="18"/>
      <c r="G9" s="18"/>
    </row>
    <row r="10" spans="1:7" x14ac:dyDescent="0.2">
      <c r="A10" s="73"/>
      <c r="B10" s="73"/>
      <c r="C10" s="73"/>
      <c r="D10" s="18"/>
      <c r="E10" s="18"/>
      <c r="F10" s="18"/>
      <c r="G10" s="18"/>
    </row>
    <row r="11" spans="1:7" x14ac:dyDescent="0.2">
      <c r="A11" s="73"/>
      <c r="B11" s="73"/>
      <c r="C11" s="73"/>
      <c r="D11" s="18"/>
      <c r="E11" s="18"/>
      <c r="F11" s="18"/>
      <c r="G11" s="18"/>
    </row>
    <row r="12" spans="1:7" x14ac:dyDescent="0.2">
      <c r="A12" s="86" t="s">
        <v>34</v>
      </c>
      <c r="B12" s="84"/>
      <c r="C12" s="84"/>
      <c r="D12" s="16"/>
      <c r="E12" s="16"/>
      <c r="G12" s="16"/>
    </row>
    <row r="13" spans="1:7" x14ac:dyDescent="0.2">
      <c r="A13" s="16"/>
      <c r="B13" s="16"/>
      <c r="C13" s="16"/>
      <c r="D13" s="16"/>
      <c r="E13" s="16"/>
      <c r="G13" s="16"/>
    </row>
    <row r="14" spans="1:7" x14ac:dyDescent="0.2">
      <c r="A14" s="76" t="s">
        <v>88</v>
      </c>
      <c r="B14" s="76"/>
      <c r="C14" s="76"/>
      <c r="D14" s="98">
        <v>2</v>
      </c>
      <c r="E14" s="16" t="s">
        <v>35</v>
      </c>
      <c r="F14" s="16" t="s">
        <v>8</v>
      </c>
      <c r="G14" s="16"/>
    </row>
    <row r="15" spans="1:7" x14ac:dyDescent="0.2">
      <c r="A15" s="76" t="s">
        <v>482</v>
      </c>
      <c r="B15" s="65"/>
      <c r="C15" s="65"/>
      <c r="D15" s="16">
        <f>COLETOR!B32</f>
        <v>3512.0801999999999</v>
      </c>
      <c r="E15" s="65" t="s">
        <v>36</v>
      </c>
      <c r="G15" s="16"/>
    </row>
    <row r="16" spans="1:7" x14ac:dyDescent="0.2">
      <c r="A16" s="65" t="s">
        <v>481</v>
      </c>
      <c r="B16" s="65"/>
      <c r="C16" s="65"/>
      <c r="D16" s="16">
        <f>ROUND((((D14*(D15/220)*1.5)*4*4)),2)</f>
        <v>766.27</v>
      </c>
      <c r="E16" s="16" t="s">
        <v>37</v>
      </c>
      <c r="G16" s="16"/>
    </row>
    <row r="17" spans="1:7" x14ac:dyDescent="0.2">
      <c r="A17" s="76" t="s">
        <v>47</v>
      </c>
      <c r="B17" s="76"/>
      <c r="C17" s="76"/>
      <c r="D17" s="16">
        <f>(D14*D15)+D16</f>
        <v>7790.4303999999993</v>
      </c>
      <c r="E17" s="16" t="s">
        <v>43</v>
      </c>
      <c r="G17" s="16"/>
    </row>
    <row r="18" spans="1:7" x14ac:dyDescent="0.2">
      <c r="A18" s="65"/>
      <c r="B18" s="65"/>
      <c r="C18" s="65"/>
      <c r="D18" s="16"/>
      <c r="E18" s="16"/>
      <c r="G18" s="16"/>
    </row>
    <row r="19" spans="1:7" x14ac:dyDescent="0.2">
      <c r="A19" s="76" t="s">
        <v>356</v>
      </c>
      <c r="B19" s="65"/>
      <c r="C19" s="65"/>
      <c r="D19" s="16"/>
      <c r="E19" s="16" t="s">
        <v>35</v>
      </c>
      <c r="G19" s="16"/>
    </row>
    <row r="20" spans="1:7" x14ac:dyDescent="0.2">
      <c r="A20" s="16" t="s">
        <v>39</v>
      </c>
      <c r="B20" s="16"/>
      <c r="C20" s="16"/>
      <c r="D20" s="16">
        <f>'ENC I'!B32</f>
        <v>5896.6907724273269</v>
      </c>
      <c r="E20" s="16" t="s">
        <v>36</v>
      </c>
      <c r="G20" s="16"/>
    </row>
    <row r="21" spans="1:7" x14ac:dyDescent="0.2">
      <c r="A21" s="76" t="s">
        <v>42</v>
      </c>
      <c r="B21" s="76"/>
      <c r="C21" s="76"/>
      <c r="D21" s="16">
        <f>+D20*D19</f>
        <v>0</v>
      </c>
      <c r="E21" s="16" t="s">
        <v>37</v>
      </c>
      <c r="G21" s="16"/>
    </row>
    <row r="22" spans="1:7" x14ac:dyDescent="0.2">
      <c r="A22" s="16" t="s">
        <v>48</v>
      </c>
      <c r="B22" s="16"/>
      <c r="C22" s="16"/>
      <c r="D22" s="16">
        <f>D21</f>
        <v>0</v>
      </c>
      <c r="E22" s="16" t="s">
        <v>43</v>
      </c>
      <c r="G22" s="16"/>
    </row>
    <row r="23" spans="1:7" x14ac:dyDescent="0.2">
      <c r="A23" s="16"/>
      <c r="B23" s="16"/>
      <c r="C23" s="16"/>
      <c r="D23" s="16"/>
      <c r="E23" s="16"/>
      <c r="G23" s="16"/>
    </row>
    <row r="24" spans="1:7" x14ac:dyDescent="0.2">
      <c r="A24" s="65" t="s">
        <v>49</v>
      </c>
      <c r="B24" s="65"/>
      <c r="C24" s="65"/>
      <c r="D24" s="16">
        <v>1</v>
      </c>
      <c r="E24" s="16" t="s">
        <v>35</v>
      </c>
      <c r="G24" s="16"/>
    </row>
    <row r="25" spans="1:7" x14ac:dyDescent="0.2">
      <c r="A25" s="76" t="s">
        <v>484</v>
      </c>
      <c r="B25" s="65"/>
      <c r="C25" s="65"/>
      <c r="D25" s="16">
        <f>MOTORISTA!B32</f>
        <v>5407.0828585454556</v>
      </c>
      <c r="E25" s="16" t="s">
        <v>36</v>
      </c>
      <c r="G25" s="16"/>
    </row>
    <row r="26" spans="1:7" x14ac:dyDescent="0.2">
      <c r="A26" s="65" t="s">
        <v>481</v>
      </c>
      <c r="B26" s="65"/>
      <c r="C26" s="65"/>
      <c r="D26" s="16">
        <f>ROUND((((D24*(D25/220)*1.5)*4*4)),2)</f>
        <v>589.86</v>
      </c>
      <c r="E26" s="16" t="s">
        <v>37</v>
      </c>
      <c r="G26" s="16"/>
    </row>
    <row r="27" spans="1:7" x14ac:dyDescent="0.2">
      <c r="A27" s="76" t="s">
        <v>52</v>
      </c>
      <c r="B27" s="76"/>
      <c r="C27" s="76"/>
      <c r="D27" s="16">
        <f>(D24*D25)+D26</f>
        <v>5996.9428585454552</v>
      </c>
      <c r="E27" s="16" t="s">
        <v>43</v>
      </c>
      <c r="G27" s="16"/>
    </row>
    <row r="28" spans="1:7" x14ac:dyDescent="0.2">
      <c r="A28" s="16"/>
      <c r="B28" s="16"/>
      <c r="C28" s="16"/>
      <c r="D28" s="16"/>
      <c r="E28" s="16"/>
      <c r="G28" s="16"/>
    </row>
    <row r="29" spans="1:7" x14ac:dyDescent="0.2">
      <c r="A29" s="33" t="s">
        <v>199</v>
      </c>
      <c r="B29" s="33"/>
      <c r="C29" s="33"/>
      <c r="D29" s="33">
        <f>D17+D22+D27</f>
        <v>13787.373258545455</v>
      </c>
      <c r="E29" s="33" t="s">
        <v>131</v>
      </c>
      <c r="G29" s="16"/>
    </row>
    <row r="30" spans="1:7" x14ac:dyDescent="0.2">
      <c r="A30" s="16"/>
      <c r="B30" s="16"/>
      <c r="C30" s="16"/>
      <c r="D30" s="16"/>
      <c r="E30" s="16"/>
      <c r="G30" s="16"/>
    </row>
    <row r="31" spans="1:7" x14ac:dyDescent="0.2">
      <c r="A31" s="93" t="s">
        <v>87</v>
      </c>
      <c r="B31" s="81"/>
      <c r="C31" s="81"/>
      <c r="D31" s="16"/>
      <c r="E31" s="16"/>
      <c r="G31" s="16"/>
    </row>
    <row r="32" spans="1:7" x14ac:dyDescent="0.2">
      <c r="A32" s="16"/>
      <c r="B32" s="16"/>
      <c r="C32" s="16"/>
      <c r="D32" s="16"/>
      <c r="E32" s="16"/>
      <c r="G32" s="16"/>
    </row>
    <row r="33" spans="1:7" x14ac:dyDescent="0.2">
      <c r="A33" s="76" t="s">
        <v>178</v>
      </c>
      <c r="B33" s="76"/>
      <c r="C33" s="76"/>
      <c r="D33" s="16">
        <v>1</v>
      </c>
      <c r="E33" s="16" t="s">
        <v>35</v>
      </c>
      <c r="G33" s="16"/>
    </row>
    <row r="34" spans="1:7" x14ac:dyDescent="0.2">
      <c r="A34" s="16" t="s">
        <v>53</v>
      </c>
      <c r="B34" s="16"/>
      <c r="C34" s="16"/>
      <c r="D34" s="16">
        <f>'BASCULANTE 6'!B61</f>
        <v>8374.508669933628</v>
      </c>
      <c r="E34" s="16" t="s">
        <v>131</v>
      </c>
      <c r="G34" s="16"/>
    </row>
    <row r="35" spans="1:7" x14ac:dyDescent="0.2">
      <c r="A35" s="65" t="s">
        <v>54</v>
      </c>
      <c r="B35" s="65"/>
      <c r="C35" s="65"/>
      <c r="D35" s="16">
        <f>+D34*D33</f>
        <v>8374.508669933628</v>
      </c>
      <c r="E35" s="16" t="s">
        <v>131</v>
      </c>
      <c r="G35" s="16"/>
    </row>
    <row r="36" spans="1:7" x14ac:dyDescent="0.2">
      <c r="A36" s="65"/>
      <c r="B36" s="65"/>
      <c r="C36" s="65"/>
      <c r="D36" s="16"/>
      <c r="E36" s="16"/>
      <c r="G36" s="16"/>
    </row>
    <row r="37" spans="1:7" hidden="1" x14ac:dyDescent="0.2">
      <c r="A37" s="76" t="s">
        <v>322</v>
      </c>
      <c r="B37" s="65"/>
      <c r="C37" s="65"/>
      <c r="D37" s="16"/>
      <c r="E37" s="16" t="s">
        <v>325</v>
      </c>
      <c r="G37" s="16"/>
    </row>
    <row r="38" spans="1:7" hidden="1" x14ac:dyDescent="0.2">
      <c r="A38" s="76" t="s">
        <v>323</v>
      </c>
      <c r="B38" s="65"/>
      <c r="C38" s="65"/>
      <c r="D38" s="16"/>
      <c r="E38" s="16" t="s">
        <v>131</v>
      </c>
      <c r="G38" s="16"/>
    </row>
    <row r="39" spans="1:7" hidden="1" x14ac:dyDescent="0.2">
      <c r="A39" s="76" t="s">
        <v>324</v>
      </c>
      <c r="B39" s="65"/>
      <c r="C39" s="65"/>
      <c r="D39" s="16">
        <f>D37*D38</f>
        <v>0</v>
      </c>
      <c r="E39" s="16" t="s">
        <v>131</v>
      </c>
      <c r="G39" s="16"/>
    </row>
    <row r="40" spans="1:7" hidden="1" x14ac:dyDescent="0.2">
      <c r="A40" s="65"/>
      <c r="B40" s="65"/>
      <c r="C40" s="65"/>
      <c r="D40" s="16"/>
      <c r="E40" s="16"/>
      <c r="G40" s="16"/>
    </row>
    <row r="41" spans="1:7" hidden="1" x14ac:dyDescent="0.2">
      <c r="A41" s="16"/>
      <c r="B41" s="16"/>
      <c r="C41" s="16"/>
      <c r="D41" s="16"/>
      <c r="E41" s="16"/>
      <c r="G41" s="16"/>
    </row>
    <row r="42" spans="1:7" x14ac:dyDescent="0.2">
      <c r="A42" s="33" t="s">
        <v>200</v>
      </c>
      <c r="B42" s="33"/>
      <c r="C42" s="33"/>
      <c r="D42" s="33">
        <f>D35+D39</f>
        <v>8374.508669933628</v>
      </c>
      <c r="E42" s="33" t="s">
        <v>131</v>
      </c>
      <c r="G42" s="16"/>
    </row>
    <row r="43" spans="1:7" x14ac:dyDescent="0.2">
      <c r="A43" s="16"/>
      <c r="B43" s="16"/>
      <c r="C43" s="16"/>
      <c r="D43" s="16"/>
      <c r="E43" s="16"/>
      <c r="G43" s="16"/>
    </row>
    <row r="44" spans="1:7" x14ac:dyDescent="0.2">
      <c r="A44" s="93" t="s">
        <v>523</v>
      </c>
      <c r="B44" s="81"/>
      <c r="C44" s="81"/>
      <c r="D44" s="82"/>
      <c r="E44" s="16"/>
      <c r="G44" s="11"/>
    </row>
    <row r="45" spans="1:7" x14ac:dyDescent="0.2">
      <c r="A45" s="81"/>
      <c r="B45" s="81"/>
      <c r="C45" s="81"/>
      <c r="D45" s="82"/>
      <c r="E45" s="16"/>
      <c r="G45" s="11"/>
    </row>
    <row r="46" spans="1:7" x14ac:dyDescent="0.2">
      <c r="A46" s="23" t="s">
        <v>127</v>
      </c>
      <c r="B46" s="226">
        <v>2</v>
      </c>
      <c r="C46" s="80" t="s">
        <v>114</v>
      </c>
      <c r="D46" s="16">
        <f>B46*PREÇOS!J6</f>
        <v>28.933333333333334</v>
      </c>
      <c r="E46" s="16" t="s">
        <v>37</v>
      </c>
      <c r="F46" s="97"/>
      <c r="G46" s="16"/>
    </row>
    <row r="47" spans="1:7" x14ac:dyDescent="0.2">
      <c r="A47" s="16" t="s">
        <v>116</v>
      </c>
      <c r="B47" s="226">
        <v>1</v>
      </c>
      <c r="C47" s="80" t="s">
        <v>114</v>
      </c>
      <c r="D47" s="16">
        <f>B47*PREÇOS!J5</f>
        <v>80.5</v>
      </c>
      <c r="E47" s="16" t="s">
        <v>37</v>
      </c>
      <c r="F47" s="92"/>
      <c r="G47" s="16"/>
    </row>
    <row r="48" spans="1:7" x14ac:dyDescent="0.2">
      <c r="A48" s="16" t="s">
        <v>117</v>
      </c>
      <c r="B48" s="227">
        <f>1*$D$33</f>
        <v>1</v>
      </c>
      <c r="C48" s="80" t="s">
        <v>114</v>
      </c>
      <c r="D48" s="16">
        <f>B48*PREÇOS!J8</f>
        <v>32.445</v>
      </c>
      <c r="E48" s="16" t="s">
        <v>37</v>
      </c>
      <c r="F48" s="92"/>
      <c r="G48" s="16"/>
    </row>
    <row r="49" spans="1:17" x14ac:dyDescent="0.2">
      <c r="A49" s="16" t="s">
        <v>118</v>
      </c>
      <c r="B49" s="226">
        <v>1</v>
      </c>
      <c r="C49" s="80" t="s">
        <v>114</v>
      </c>
      <c r="D49" s="16">
        <f>B49*PREÇOS!J7</f>
        <v>23.3</v>
      </c>
      <c r="E49" s="16" t="s">
        <v>37</v>
      </c>
      <c r="F49" s="92"/>
      <c r="G49" s="16"/>
    </row>
    <row r="50" spans="1:17" x14ac:dyDescent="0.2">
      <c r="A50" s="16" t="s">
        <v>119</v>
      </c>
      <c r="B50" s="226">
        <v>1</v>
      </c>
      <c r="C50" s="80" t="s">
        <v>114</v>
      </c>
      <c r="D50" s="16">
        <f>B50*PREÇOS!J9</f>
        <v>24.87777777777778</v>
      </c>
      <c r="E50" s="16" t="s">
        <v>37</v>
      </c>
      <c r="F50" s="92"/>
      <c r="G50" s="16"/>
    </row>
    <row r="51" spans="1:17" x14ac:dyDescent="0.2">
      <c r="A51" s="16" t="s">
        <v>124</v>
      </c>
      <c r="B51" s="227">
        <f>1*$D$33</f>
        <v>1</v>
      </c>
      <c r="C51" s="80" t="s">
        <v>114</v>
      </c>
      <c r="D51" s="16">
        <f>B51*PREÇOS!J12</f>
        <v>6.2694444444444448</v>
      </c>
      <c r="E51" s="16" t="s">
        <v>37</v>
      </c>
      <c r="F51" s="92"/>
      <c r="G51" s="16"/>
    </row>
    <row r="52" spans="1:17" x14ac:dyDescent="0.2">
      <c r="A52" s="16" t="s">
        <v>104</v>
      </c>
      <c r="B52" s="227">
        <f>1*$D$33</f>
        <v>1</v>
      </c>
      <c r="C52" s="80" t="s">
        <v>114</v>
      </c>
      <c r="D52" s="16">
        <f>B52*PREÇOS!J14</f>
        <v>23.3</v>
      </c>
      <c r="E52" s="16" t="s">
        <v>37</v>
      </c>
      <c r="F52" s="92"/>
      <c r="G52" s="16"/>
    </row>
    <row r="53" spans="1:17" x14ac:dyDescent="0.2">
      <c r="A53" s="44" t="s">
        <v>493</v>
      </c>
      <c r="B53" s="222">
        <f>(D14+D24)*2*26</f>
        <v>156</v>
      </c>
      <c r="C53" s="125" t="s">
        <v>494</v>
      </c>
      <c r="D53" s="44">
        <f>B53*PREÇOS!J29</f>
        <v>54.599999999999994</v>
      </c>
      <c r="E53" s="44" t="s">
        <v>43</v>
      </c>
      <c r="G53" s="16"/>
    </row>
    <row r="54" spans="1:17" x14ac:dyDescent="0.2">
      <c r="A54" s="16"/>
      <c r="B54" s="16"/>
      <c r="C54" s="16"/>
      <c r="D54" s="16"/>
      <c r="E54" s="16"/>
      <c r="G54" s="16"/>
    </row>
    <row r="55" spans="1:17" x14ac:dyDescent="0.2">
      <c r="A55" s="33" t="s">
        <v>200</v>
      </c>
      <c r="B55" s="33"/>
      <c r="C55" s="33"/>
      <c r="D55" s="33">
        <f>SUM(D46:D53)</f>
        <v>274.22555555555562</v>
      </c>
      <c r="E55" s="33" t="s">
        <v>131</v>
      </c>
      <c r="G55" s="16"/>
    </row>
    <row r="56" spans="1:17" x14ac:dyDescent="0.2">
      <c r="A56" s="16"/>
      <c r="B56" s="16"/>
      <c r="C56" s="16"/>
      <c r="D56" s="16"/>
      <c r="E56" s="16"/>
      <c r="G56" s="16"/>
    </row>
    <row r="57" spans="1:17" s="132" customFormat="1" x14ac:dyDescent="0.2">
      <c r="A57" s="127" t="s">
        <v>491</v>
      </c>
      <c r="B57" s="44"/>
      <c r="C57" s="44"/>
      <c r="D57" s="44"/>
      <c r="E57" s="44"/>
      <c r="F57" s="44"/>
      <c r="G57" s="44"/>
      <c r="H57" s="44"/>
      <c r="I57" s="44"/>
      <c r="O57" s="157"/>
      <c r="Q57" s="69"/>
    </row>
    <row r="58" spans="1:17" s="132" customFormat="1" x14ac:dyDescent="0.2">
      <c r="A58" s="127"/>
      <c r="B58" s="44"/>
      <c r="C58" s="44"/>
      <c r="D58" s="44"/>
      <c r="E58" s="44"/>
      <c r="F58" s="44"/>
      <c r="G58" s="44"/>
      <c r="H58" s="44"/>
      <c r="I58" s="44"/>
      <c r="O58" s="157"/>
      <c r="Q58" s="69"/>
    </row>
    <row r="59" spans="1:17" s="132" customFormat="1" x14ac:dyDescent="0.2">
      <c r="A59" s="225" t="s">
        <v>499</v>
      </c>
      <c r="B59" s="44"/>
      <c r="C59" s="44"/>
      <c r="D59" s="44"/>
      <c r="E59" s="44"/>
      <c r="F59" s="44"/>
      <c r="G59" s="44"/>
      <c r="H59" s="44"/>
      <c r="I59" s="44"/>
      <c r="O59" s="157"/>
      <c r="Q59" s="69"/>
    </row>
    <row r="60" spans="1:17" s="132" customFormat="1" x14ac:dyDescent="0.2">
      <c r="A60" s="225" t="s">
        <v>497</v>
      </c>
      <c r="B60" s="44"/>
      <c r="C60" s="44"/>
      <c r="D60" s="44">
        <v>110</v>
      </c>
      <c r="E60" s="44" t="s">
        <v>496</v>
      </c>
      <c r="F60" s="44"/>
      <c r="G60" s="44"/>
      <c r="H60" s="44"/>
      <c r="I60" s="44"/>
      <c r="O60" s="157"/>
      <c r="Q60" s="69"/>
    </row>
    <row r="61" spans="1:17" s="132" customFormat="1" x14ac:dyDescent="0.2">
      <c r="A61" s="225" t="s">
        <v>498</v>
      </c>
      <c r="B61" s="44"/>
      <c r="C61" s="44"/>
      <c r="D61" s="44">
        <v>110</v>
      </c>
      <c r="E61" s="44" t="s">
        <v>506</v>
      </c>
      <c r="F61" s="44"/>
      <c r="G61" s="44"/>
      <c r="H61" s="44"/>
      <c r="I61" s="44"/>
      <c r="O61" s="157"/>
      <c r="Q61" s="69"/>
    </row>
    <row r="62" spans="1:17" s="132" customFormat="1" x14ac:dyDescent="0.2">
      <c r="A62" s="225"/>
      <c r="B62" s="44"/>
      <c r="C62" s="44"/>
      <c r="D62" s="44"/>
      <c r="E62" s="44"/>
      <c r="F62" s="44"/>
      <c r="G62" s="44"/>
      <c r="H62" s="44"/>
      <c r="I62" s="44"/>
      <c r="O62" s="157"/>
      <c r="Q62" s="69"/>
    </row>
    <row r="63" spans="1:17" s="132" customFormat="1" x14ac:dyDescent="0.2">
      <c r="A63" s="225" t="s">
        <v>500</v>
      </c>
      <c r="B63" s="44"/>
      <c r="C63" s="44"/>
      <c r="D63" s="44"/>
      <c r="E63" s="44"/>
      <c r="F63" s="44"/>
      <c r="G63" s="44"/>
      <c r="H63" s="44"/>
      <c r="I63" s="44"/>
      <c r="O63" s="157"/>
      <c r="Q63" s="69"/>
    </row>
    <row r="64" spans="1:17" s="132" customFormat="1" x14ac:dyDescent="0.2">
      <c r="A64" s="225" t="s">
        <v>501</v>
      </c>
      <c r="B64" s="44"/>
      <c r="C64" s="44"/>
      <c r="D64" s="44">
        <v>800</v>
      </c>
      <c r="E64" s="44" t="s">
        <v>505</v>
      </c>
      <c r="F64" s="44"/>
      <c r="G64" s="44"/>
      <c r="H64" s="44"/>
      <c r="I64" s="44"/>
      <c r="O64" s="157"/>
      <c r="Q64" s="69"/>
    </row>
    <row r="65" spans="1:17" s="132" customFormat="1" x14ac:dyDescent="0.2">
      <c r="A65" s="225" t="s">
        <v>502</v>
      </c>
      <c r="B65" s="44"/>
      <c r="C65" s="44"/>
      <c r="D65" s="44">
        <v>60</v>
      </c>
      <c r="E65" s="44" t="s">
        <v>506</v>
      </c>
      <c r="F65" s="44"/>
      <c r="G65" s="44"/>
      <c r="H65" s="44"/>
      <c r="I65" s="44"/>
      <c r="O65" s="157"/>
      <c r="Q65" s="69"/>
    </row>
    <row r="66" spans="1:17" s="132" customFormat="1" x14ac:dyDescent="0.2">
      <c r="A66" s="225" t="s">
        <v>503</v>
      </c>
      <c r="B66" s="44"/>
      <c r="C66" s="44"/>
      <c r="D66" s="44">
        <v>30</v>
      </c>
      <c r="E66" s="44" t="s">
        <v>55</v>
      </c>
      <c r="F66" s="44"/>
      <c r="G66" s="44"/>
      <c r="H66" s="44"/>
      <c r="I66" s="44"/>
      <c r="O66" s="157"/>
      <c r="Q66" s="69"/>
    </row>
    <row r="67" spans="1:17" s="132" customFormat="1" x14ac:dyDescent="0.2">
      <c r="A67" s="44" t="s">
        <v>504</v>
      </c>
      <c r="B67" s="44"/>
      <c r="C67" s="44"/>
      <c r="D67" s="44">
        <f>(D64/D66)+D65</f>
        <v>86.666666666666671</v>
      </c>
      <c r="E67" s="44" t="s">
        <v>507</v>
      </c>
      <c r="F67" s="44"/>
      <c r="G67" s="44"/>
      <c r="H67" s="44"/>
      <c r="I67" s="44"/>
      <c r="O67" s="157"/>
      <c r="Q67" s="69"/>
    </row>
    <row r="68" spans="1:17" s="132" customFormat="1" x14ac:dyDescent="0.2">
      <c r="A68" s="44"/>
      <c r="B68" s="44"/>
      <c r="C68" s="44"/>
      <c r="D68" s="44"/>
      <c r="E68" s="44"/>
      <c r="F68" s="44"/>
      <c r="G68" s="44"/>
      <c r="H68" s="44"/>
      <c r="I68" s="44"/>
      <c r="O68" s="157"/>
      <c r="Q68" s="69"/>
    </row>
    <row r="69" spans="1:17" s="132" customFormat="1" x14ac:dyDescent="0.2">
      <c r="A69" s="44" t="s">
        <v>508</v>
      </c>
      <c r="B69" s="44"/>
      <c r="C69" s="44"/>
      <c r="D69" s="44"/>
      <c r="E69" s="44"/>
      <c r="F69" s="44"/>
      <c r="G69" s="44"/>
      <c r="H69" s="44"/>
      <c r="I69" s="44"/>
      <c r="O69" s="157"/>
      <c r="Q69" s="69"/>
    </row>
    <row r="70" spans="1:17" s="132" customFormat="1" x14ac:dyDescent="0.2">
      <c r="A70" s="44" t="s">
        <v>509</v>
      </c>
      <c r="B70" s="44"/>
      <c r="C70" s="44"/>
      <c r="D70" s="44">
        <f>D33+D37</f>
        <v>1</v>
      </c>
      <c r="E70" s="44" t="s">
        <v>514</v>
      </c>
      <c r="F70" s="44"/>
      <c r="G70" s="44"/>
      <c r="H70" s="44"/>
      <c r="I70" s="44"/>
      <c r="O70" s="157"/>
      <c r="Q70" s="69"/>
    </row>
    <row r="71" spans="1:17" s="132" customFormat="1" x14ac:dyDescent="0.2">
      <c r="A71" s="44" t="s">
        <v>520</v>
      </c>
      <c r="B71" s="44"/>
      <c r="C71" s="44"/>
      <c r="D71" s="44">
        <v>0</v>
      </c>
      <c r="E71" s="44" t="s">
        <v>514</v>
      </c>
      <c r="F71" s="44"/>
      <c r="G71" s="44"/>
      <c r="H71" s="44"/>
      <c r="I71" s="44"/>
      <c r="O71" s="157"/>
      <c r="Q71" s="69"/>
    </row>
    <row r="72" spans="1:17" s="132" customFormat="1" x14ac:dyDescent="0.2">
      <c r="A72" s="44" t="s">
        <v>516</v>
      </c>
      <c r="B72" s="44"/>
      <c r="C72" s="44"/>
      <c r="D72" s="44">
        <f>D60*D70</f>
        <v>110</v>
      </c>
      <c r="E72" s="44" t="s">
        <v>515</v>
      </c>
      <c r="F72" s="44"/>
      <c r="G72" s="44"/>
      <c r="H72" s="44"/>
      <c r="I72" s="44"/>
      <c r="O72" s="157"/>
      <c r="Q72" s="69"/>
    </row>
    <row r="73" spans="1:17" s="132" customFormat="1" x14ac:dyDescent="0.2">
      <c r="A73" s="44" t="s">
        <v>511</v>
      </c>
      <c r="B73" s="44"/>
      <c r="C73" s="44"/>
      <c r="D73" s="44">
        <f>D71*D61</f>
        <v>0</v>
      </c>
      <c r="E73" s="44" t="s">
        <v>506</v>
      </c>
      <c r="F73" s="44"/>
      <c r="G73" s="44"/>
      <c r="H73" s="44"/>
      <c r="I73" s="44"/>
      <c r="O73" s="157"/>
      <c r="Q73" s="69"/>
    </row>
    <row r="74" spans="1:17" s="132" customFormat="1" x14ac:dyDescent="0.2">
      <c r="A74" s="44" t="s">
        <v>512</v>
      </c>
      <c r="B74" s="44"/>
      <c r="C74" s="44"/>
      <c r="D74" s="44"/>
      <c r="E74" s="44" t="s">
        <v>514</v>
      </c>
      <c r="F74" s="44"/>
      <c r="G74" s="44"/>
      <c r="H74" s="44"/>
      <c r="I74" s="44"/>
      <c r="O74" s="157"/>
      <c r="Q74" s="69"/>
    </row>
    <row r="75" spans="1:17" s="132" customFormat="1" x14ac:dyDescent="0.2">
      <c r="A75" s="44" t="s">
        <v>517</v>
      </c>
      <c r="B75" s="44"/>
      <c r="C75" s="44"/>
      <c r="D75" s="44">
        <f>D67*D74</f>
        <v>0</v>
      </c>
      <c r="E75" s="44" t="s">
        <v>518</v>
      </c>
      <c r="F75" s="44"/>
      <c r="G75" s="44"/>
      <c r="H75" s="44"/>
      <c r="I75" s="44"/>
      <c r="O75" s="157"/>
      <c r="Q75" s="69"/>
    </row>
    <row r="76" spans="1:17" s="132" customFormat="1" x14ac:dyDescent="0.2">
      <c r="A76" s="44"/>
      <c r="B76" s="44"/>
      <c r="C76" s="44"/>
      <c r="D76" s="44"/>
      <c r="E76" s="44"/>
      <c r="F76" s="44"/>
      <c r="G76" s="44"/>
      <c r="H76" s="44"/>
      <c r="I76" s="44"/>
      <c r="O76" s="157"/>
      <c r="Q76" s="69"/>
    </row>
    <row r="77" spans="1:17" s="132" customFormat="1" x14ac:dyDescent="0.2">
      <c r="A77" s="122" t="s">
        <v>513</v>
      </c>
      <c r="B77" s="122"/>
      <c r="C77" s="122"/>
      <c r="D77" s="122">
        <f>D72+D73+D75</f>
        <v>110</v>
      </c>
      <c r="E77" s="122" t="s">
        <v>131</v>
      </c>
      <c r="F77" s="44"/>
      <c r="G77" s="44"/>
      <c r="H77" s="44"/>
      <c r="I77" s="44"/>
      <c r="O77" s="157"/>
      <c r="Q77" s="69"/>
    </row>
    <row r="78" spans="1:17" x14ac:dyDescent="0.2">
      <c r="A78" s="16"/>
      <c r="B78" s="16"/>
      <c r="C78" s="16"/>
      <c r="D78" s="16"/>
      <c r="E78" s="16"/>
      <c r="G78" s="16"/>
    </row>
    <row r="79" spans="1:17" x14ac:dyDescent="0.2">
      <c r="A79" s="93" t="s">
        <v>522</v>
      </c>
      <c r="B79" s="81"/>
      <c r="C79" s="81"/>
      <c r="D79" s="16"/>
      <c r="E79" s="16"/>
      <c r="G79" s="16"/>
    </row>
    <row r="80" spans="1:17" x14ac:dyDescent="0.2">
      <c r="A80" s="81"/>
      <c r="B80" s="81"/>
      <c r="C80" s="81"/>
      <c r="D80" s="16"/>
      <c r="E80" s="16"/>
      <c r="G80" s="16"/>
    </row>
    <row r="81" spans="1:17" x14ac:dyDescent="0.2">
      <c r="A81" s="16" t="s">
        <v>68</v>
      </c>
      <c r="B81" s="16"/>
      <c r="C81" s="16"/>
      <c r="D81" s="16">
        <f>+D29</f>
        <v>13787.373258545455</v>
      </c>
      <c r="E81" s="16" t="s">
        <v>37</v>
      </c>
      <c r="G81" s="16"/>
      <c r="H81" s="63"/>
    </row>
    <row r="82" spans="1:17" x14ac:dyDescent="0.2">
      <c r="A82" s="16" t="s">
        <v>58</v>
      </c>
      <c r="B82" s="16"/>
      <c r="C82" s="16"/>
      <c r="D82" s="16">
        <f>+D42</f>
        <v>8374.508669933628</v>
      </c>
      <c r="E82" s="16" t="s">
        <v>37</v>
      </c>
      <c r="G82" s="16"/>
      <c r="H82" s="63"/>
    </row>
    <row r="83" spans="1:17" x14ac:dyDescent="0.2">
      <c r="A83" s="16" t="s">
        <v>67</v>
      </c>
      <c r="B83" s="16"/>
      <c r="C83" s="16"/>
      <c r="D83" s="98">
        <f>D55</f>
        <v>274.22555555555562</v>
      </c>
      <c r="E83" s="16" t="s">
        <v>37</v>
      </c>
      <c r="G83" s="16"/>
      <c r="H83" s="63"/>
    </row>
    <row r="84" spans="1:17" x14ac:dyDescent="0.2">
      <c r="A84" s="44" t="s">
        <v>519</v>
      </c>
      <c r="B84" s="16"/>
      <c r="C84" s="16"/>
      <c r="D84" s="98">
        <f>D77</f>
        <v>110</v>
      </c>
      <c r="E84" s="16" t="s">
        <v>37</v>
      </c>
      <c r="G84" s="16"/>
      <c r="H84" s="63"/>
      <c r="I84" s="63"/>
    </row>
    <row r="85" spans="1:17" x14ac:dyDescent="0.2">
      <c r="A85" s="16"/>
      <c r="B85" s="16"/>
      <c r="C85" s="16"/>
      <c r="D85" s="98"/>
      <c r="E85" s="16"/>
      <c r="G85" s="16"/>
    </row>
    <row r="86" spans="1:17" x14ac:dyDescent="0.2">
      <c r="A86" s="33" t="s">
        <v>193</v>
      </c>
      <c r="B86" s="33"/>
      <c r="C86" s="33"/>
      <c r="D86" s="33">
        <f>SUM(D81:D84)</f>
        <v>22546.107484034637</v>
      </c>
      <c r="E86" s="33" t="s">
        <v>131</v>
      </c>
      <c r="G86" s="16"/>
    </row>
    <row r="87" spans="1:17" x14ac:dyDescent="0.2">
      <c r="A87" s="16"/>
      <c r="B87" s="16"/>
      <c r="C87" s="16"/>
      <c r="D87" s="16" t="s">
        <v>8</v>
      </c>
      <c r="E87" s="16"/>
      <c r="G87" s="16"/>
    </row>
    <row r="88" spans="1:17" s="103" customFormat="1" x14ac:dyDescent="0.2">
      <c r="A88" s="122" t="s">
        <v>490</v>
      </c>
      <c r="B88" s="176">
        <f>BDI!C12/100</f>
        <v>0.29712344612244879</v>
      </c>
      <c r="C88" s="122"/>
      <c r="D88" s="165">
        <f>D90-D86</f>
        <v>6698.9771523035051</v>
      </c>
      <c r="E88" s="122" t="s">
        <v>131</v>
      </c>
      <c r="F88" s="16"/>
      <c r="G88" s="122"/>
      <c r="H88" s="40"/>
      <c r="I88" s="69"/>
      <c r="O88" s="174"/>
      <c r="Q88" s="146"/>
    </row>
    <row r="89" spans="1:17" x14ac:dyDescent="0.2">
      <c r="A89" s="16"/>
      <c r="B89" s="16"/>
      <c r="C89" s="16"/>
      <c r="D89" s="16"/>
      <c r="E89" s="16"/>
      <c r="G89" s="154"/>
      <c r="H89" s="16"/>
    </row>
    <row r="90" spans="1:17" x14ac:dyDescent="0.2">
      <c r="A90" s="87" t="s">
        <v>489</v>
      </c>
      <c r="B90" s="90"/>
      <c r="C90" s="90"/>
      <c r="D90" s="33">
        <f>D86*BDI!C20</f>
        <v>29245.084636338142</v>
      </c>
      <c r="E90" s="33" t="s">
        <v>37</v>
      </c>
      <c r="G90" s="151"/>
      <c r="H90" s="16"/>
      <c r="I90" s="89"/>
    </row>
    <row r="91" spans="1:17" ht="12.75" customHeight="1" x14ac:dyDescent="0.2">
      <c r="A91" s="88" t="s">
        <v>309</v>
      </c>
      <c r="B91" s="33"/>
      <c r="C91" s="33"/>
      <c r="D91" s="33">
        <v>100</v>
      </c>
      <c r="E91" s="33" t="s">
        <v>230</v>
      </c>
      <c r="G91" s="16"/>
    </row>
    <row r="92" spans="1:17" ht="14.25" customHeight="1" x14ac:dyDescent="0.2">
      <c r="A92" s="88" t="s">
        <v>310</v>
      </c>
      <c r="B92" s="33"/>
      <c r="C92" s="33"/>
      <c r="D92" s="33">
        <f>D90/D91</f>
        <v>292.4508463633814</v>
      </c>
      <c r="E92" s="90" t="s">
        <v>444</v>
      </c>
      <c r="F92" s="63"/>
      <c r="G92" s="16"/>
    </row>
    <row r="93" spans="1:17" x14ac:dyDescent="0.2">
      <c r="A93" s="16"/>
      <c r="B93" s="16"/>
      <c r="C93" s="16"/>
      <c r="D93" s="16"/>
      <c r="E93" s="16"/>
      <c r="G93" s="16"/>
    </row>
    <row r="94" spans="1:17" x14ac:dyDescent="0.2">
      <c r="A94" s="95"/>
      <c r="B94" s="95"/>
      <c r="C94" s="95"/>
      <c r="G94" s="16"/>
    </row>
    <row r="95" spans="1:17" x14ac:dyDescent="0.2">
      <c r="G95" s="16"/>
    </row>
    <row r="96" spans="1:17" x14ac:dyDescent="0.2">
      <c r="G96" s="16"/>
    </row>
    <row r="97" spans="4:4" x14ac:dyDescent="0.2">
      <c r="D97" s="16"/>
    </row>
    <row r="100" spans="4:4" x14ac:dyDescent="0.2">
      <c r="D100" s="96"/>
    </row>
  </sheetData>
  <mergeCells count="3">
    <mergeCell ref="A1:E1"/>
    <mergeCell ref="A2:E2"/>
    <mergeCell ref="A7:E7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rowBreaks count="1" manualBreakCount="1">
    <brk id="78" max="5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99"/>
  <sheetViews>
    <sheetView view="pageBreakPreview" topLeftCell="A36" zoomScaleNormal="100" zoomScaleSheetLayoutView="100" workbookViewId="0">
      <selection activeCell="D29" sqref="D29"/>
    </sheetView>
  </sheetViews>
  <sheetFormatPr defaultColWidth="12" defaultRowHeight="12.75" x14ac:dyDescent="0.2"/>
  <cols>
    <col min="1" max="1" width="50.83203125" style="13" customWidth="1"/>
    <col min="2" max="2" width="10.83203125" style="13" customWidth="1"/>
    <col min="3" max="3" width="6" style="13" customWidth="1"/>
    <col min="4" max="4" width="14.83203125" style="13" customWidth="1"/>
    <col min="5" max="5" width="15.6640625" style="13" customWidth="1"/>
    <col min="6" max="6" width="15.33203125" style="13" customWidth="1"/>
    <col min="7" max="7" width="13.83203125" style="13" customWidth="1"/>
    <col min="8" max="16384" width="12" style="11"/>
  </cols>
  <sheetData>
    <row r="1" spans="1:7" hidden="1" x14ac:dyDescent="0.2">
      <c r="A1" s="357" t="s">
        <v>226</v>
      </c>
      <c r="B1" s="357"/>
      <c r="C1" s="357"/>
      <c r="D1" s="357"/>
      <c r="E1" s="357"/>
      <c r="F1" s="12"/>
      <c r="G1" s="11"/>
    </row>
    <row r="2" spans="1:7" ht="18" hidden="1" customHeight="1" x14ac:dyDescent="0.2">
      <c r="A2" s="357"/>
      <c r="B2" s="357"/>
      <c r="C2" s="357"/>
      <c r="D2" s="357"/>
      <c r="E2" s="357"/>
      <c r="F2" s="12"/>
      <c r="G2" s="11"/>
    </row>
    <row r="3" spans="1:7" hidden="1" x14ac:dyDescent="0.2">
      <c r="G3" s="11"/>
    </row>
    <row r="4" spans="1:7" hidden="1" x14ac:dyDescent="0.2">
      <c r="G4" s="11"/>
    </row>
    <row r="5" spans="1:7" hidden="1" x14ac:dyDescent="0.2">
      <c r="A5" s="250" t="s">
        <v>228</v>
      </c>
      <c r="D5" s="250" t="s">
        <v>222</v>
      </c>
      <c r="G5" s="11"/>
    </row>
    <row r="6" spans="1:7" x14ac:dyDescent="0.2">
      <c r="G6" s="11"/>
    </row>
    <row r="7" spans="1:7" x14ac:dyDescent="0.2">
      <c r="A7" s="339" t="s">
        <v>0</v>
      </c>
      <c r="B7" s="339"/>
      <c r="C7" s="339"/>
      <c r="D7" s="339"/>
      <c r="E7" s="339"/>
      <c r="F7" s="72"/>
      <c r="G7" s="11"/>
    </row>
    <row r="8" spans="1:7" x14ac:dyDescent="0.2">
      <c r="A8" s="16"/>
      <c r="B8" s="16"/>
      <c r="C8" s="16"/>
      <c r="D8" s="16"/>
      <c r="E8" s="16"/>
      <c r="F8" s="16"/>
      <c r="G8" s="16"/>
    </row>
    <row r="9" spans="1:7" x14ac:dyDescent="0.2">
      <c r="A9" s="73" t="s">
        <v>664</v>
      </c>
      <c r="B9" s="73"/>
      <c r="C9" s="73"/>
      <c r="D9" s="18"/>
      <c r="E9" s="74"/>
      <c r="F9" s="18"/>
      <c r="G9" s="18"/>
    </row>
    <row r="10" spans="1:7" x14ac:dyDescent="0.2">
      <c r="A10" s="16"/>
      <c r="B10" s="16"/>
      <c r="C10" s="16"/>
      <c r="D10" s="16"/>
      <c r="E10" s="16"/>
      <c r="F10" s="16"/>
      <c r="G10" s="16"/>
    </row>
    <row r="11" spans="1:7" x14ac:dyDescent="0.2">
      <c r="A11" s="86" t="s">
        <v>34</v>
      </c>
      <c r="B11" s="84"/>
      <c r="C11" s="84"/>
      <c r="D11" s="16"/>
      <c r="E11" s="16"/>
      <c r="F11" s="18"/>
      <c r="G11" s="16"/>
    </row>
    <row r="12" spans="1:7" x14ac:dyDescent="0.2">
      <c r="A12" s="16"/>
      <c r="B12" s="16"/>
      <c r="C12" s="16"/>
      <c r="D12" s="16"/>
      <c r="E12" s="16"/>
      <c r="F12" s="16"/>
      <c r="G12" s="16"/>
    </row>
    <row r="13" spans="1:7" x14ac:dyDescent="0.2">
      <c r="A13" s="76" t="s">
        <v>475</v>
      </c>
      <c r="B13" s="76"/>
      <c r="C13" s="76"/>
      <c r="D13" s="16">
        <v>10</v>
      </c>
      <c r="E13" s="16" t="s">
        <v>35</v>
      </c>
      <c r="F13" s="16"/>
      <c r="G13" s="16"/>
    </row>
    <row r="14" spans="1:7" x14ac:dyDescent="0.2">
      <c r="A14" s="76" t="s">
        <v>328</v>
      </c>
      <c r="B14" s="65"/>
      <c r="C14" s="65"/>
      <c r="D14" s="16">
        <f>+COLETOR!B32</f>
        <v>3512.0801999999999</v>
      </c>
      <c r="E14" s="65" t="s">
        <v>36</v>
      </c>
      <c r="F14" s="16"/>
      <c r="G14" s="16"/>
    </row>
    <row r="15" spans="1:7" x14ac:dyDescent="0.2">
      <c r="A15" s="65" t="s">
        <v>481</v>
      </c>
      <c r="B15" s="65"/>
      <c r="C15" s="65"/>
      <c r="D15" s="16">
        <f>ROUND((((D13*(D14/220)*1.5)*4*4)),2)</f>
        <v>3831.36</v>
      </c>
      <c r="E15" s="76" t="s">
        <v>37</v>
      </c>
      <c r="F15" s="16"/>
      <c r="G15" s="11"/>
    </row>
    <row r="16" spans="1:7" x14ac:dyDescent="0.2">
      <c r="A16" s="76" t="s">
        <v>42</v>
      </c>
      <c r="B16" s="76"/>
      <c r="C16" s="76"/>
      <c r="D16" s="16">
        <f>(D13*D14)+D15</f>
        <v>38952.161999999997</v>
      </c>
      <c r="E16" s="16" t="s">
        <v>37</v>
      </c>
      <c r="F16" s="16"/>
      <c r="G16" s="16"/>
    </row>
    <row r="17" spans="1:7" x14ac:dyDescent="0.2">
      <c r="A17" s="76"/>
      <c r="B17" s="76"/>
      <c r="C17" s="76"/>
      <c r="D17" s="16"/>
      <c r="E17" s="16"/>
      <c r="F17" s="16"/>
      <c r="G17" s="16"/>
    </row>
    <row r="18" spans="1:7" x14ac:dyDescent="0.2">
      <c r="A18" s="65" t="s">
        <v>38</v>
      </c>
      <c r="B18" s="65"/>
      <c r="C18" s="65"/>
      <c r="D18" s="16">
        <v>1</v>
      </c>
      <c r="E18" s="16" t="s">
        <v>35</v>
      </c>
      <c r="F18" s="16"/>
      <c r="G18" s="16"/>
    </row>
    <row r="19" spans="1:7" x14ac:dyDescent="0.2">
      <c r="A19" s="16" t="s">
        <v>321</v>
      </c>
      <c r="B19" s="16"/>
      <c r="C19" s="16"/>
      <c r="D19" s="16">
        <f>'ENC I'!B32</f>
        <v>5896.6907724273269</v>
      </c>
      <c r="E19" s="16" t="s">
        <v>36</v>
      </c>
      <c r="F19" s="16"/>
      <c r="G19" s="16"/>
    </row>
    <row r="20" spans="1:7" x14ac:dyDescent="0.2">
      <c r="A20" s="65" t="s">
        <v>481</v>
      </c>
      <c r="B20" s="65"/>
      <c r="C20" s="65"/>
      <c r="D20" s="16">
        <f>ROUND((((D18*(D19/220)*1.5)*4*4)),2)</f>
        <v>643.28</v>
      </c>
      <c r="E20" s="76" t="s">
        <v>37</v>
      </c>
      <c r="F20" s="16"/>
      <c r="G20" s="11"/>
    </row>
    <row r="21" spans="1:7" x14ac:dyDescent="0.2">
      <c r="A21" s="16" t="s">
        <v>48</v>
      </c>
      <c r="B21" s="16"/>
      <c r="C21" s="16"/>
      <c r="D21" s="16">
        <f>(D18*D19)+D20</f>
        <v>6539.9707724273267</v>
      </c>
      <c r="E21" s="16" t="s">
        <v>43</v>
      </c>
      <c r="F21" s="16"/>
      <c r="G21" s="16"/>
    </row>
    <row r="22" spans="1:7" x14ac:dyDescent="0.2">
      <c r="A22" s="16"/>
      <c r="B22" s="16"/>
      <c r="C22" s="16"/>
      <c r="D22" s="16"/>
      <c r="E22" s="16"/>
      <c r="F22" s="16"/>
      <c r="G22" s="16"/>
    </row>
    <row r="23" spans="1:7" x14ac:dyDescent="0.2">
      <c r="A23" s="76"/>
      <c r="B23" s="76"/>
      <c r="C23" s="76"/>
      <c r="D23" s="16"/>
      <c r="E23" s="16"/>
      <c r="F23" s="16"/>
      <c r="G23" s="16"/>
    </row>
    <row r="24" spans="1:7" x14ac:dyDescent="0.2">
      <c r="A24" s="101" t="s">
        <v>204</v>
      </c>
      <c r="B24" s="101"/>
      <c r="C24" s="101"/>
      <c r="D24" s="33">
        <f>D16+D21</f>
        <v>45492.132772427321</v>
      </c>
      <c r="E24" s="33" t="s">
        <v>131</v>
      </c>
      <c r="F24" s="16"/>
      <c r="G24" s="16"/>
    </row>
    <row r="25" spans="1:7" x14ac:dyDescent="0.2">
      <c r="A25" s="76"/>
      <c r="B25" s="76"/>
      <c r="C25" s="76"/>
      <c r="D25" s="16"/>
      <c r="E25" s="16"/>
      <c r="F25" s="16"/>
      <c r="G25" s="16"/>
    </row>
    <row r="26" spans="1:7" x14ac:dyDescent="0.2">
      <c r="A26" s="99" t="s">
        <v>540</v>
      </c>
      <c r="B26" s="94"/>
      <c r="C26" s="94"/>
      <c r="D26" s="82"/>
      <c r="E26" s="16"/>
      <c r="F26" s="16"/>
      <c r="G26" s="11"/>
    </row>
    <row r="27" spans="1:7" x14ac:dyDescent="0.2">
      <c r="A27" s="81"/>
      <c r="B27" s="81"/>
      <c r="C27" s="81"/>
      <c r="D27" s="82"/>
      <c r="E27" s="16"/>
      <c r="F27" s="16"/>
      <c r="G27" s="11"/>
    </row>
    <row r="28" spans="1:7" x14ac:dyDescent="0.2">
      <c r="A28" s="23" t="s">
        <v>113</v>
      </c>
      <c r="B28" s="226">
        <v>10</v>
      </c>
      <c r="C28" s="100" t="s">
        <v>114</v>
      </c>
      <c r="D28" s="16">
        <f>B28*PREÇOS!J6</f>
        <v>144.66666666666666</v>
      </c>
      <c r="E28" s="16" t="s">
        <v>37</v>
      </c>
      <c r="F28" s="83"/>
      <c r="G28" s="16"/>
    </row>
    <row r="29" spans="1:7" x14ac:dyDescent="0.2">
      <c r="A29" s="16" t="s">
        <v>116</v>
      </c>
      <c r="B29" s="226">
        <v>10</v>
      </c>
      <c r="C29" s="100" t="s">
        <v>114</v>
      </c>
      <c r="D29" s="16">
        <f>B29*PREÇOS!J5</f>
        <v>805</v>
      </c>
      <c r="E29" s="16" t="s">
        <v>37</v>
      </c>
      <c r="F29" s="83"/>
      <c r="G29" s="16"/>
    </row>
    <row r="30" spans="1:7" x14ac:dyDescent="0.2">
      <c r="A30" s="16" t="s">
        <v>117</v>
      </c>
      <c r="B30" s="226"/>
      <c r="C30" s="100" t="s">
        <v>114</v>
      </c>
      <c r="D30" s="16">
        <f>B30*PREÇOS!J8</f>
        <v>0</v>
      </c>
      <c r="E30" s="16" t="s">
        <v>37</v>
      </c>
      <c r="F30" s="79"/>
      <c r="G30" s="16"/>
    </row>
    <row r="31" spans="1:7" x14ac:dyDescent="0.2">
      <c r="A31" s="16" t="s">
        <v>118</v>
      </c>
      <c r="B31" s="226"/>
      <c r="C31" s="100" t="s">
        <v>114</v>
      </c>
      <c r="D31" s="16">
        <f>B31*PREÇOS!J7</f>
        <v>0</v>
      </c>
      <c r="E31" s="16" t="s">
        <v>37</v>
      </c>
      <c r="F31" s="79"/>
      <c r="G31" s="16"/>
    </row>
    <row r="32" spans="1:7" x14ac:dyDescent="0.2">
      <c r="A32" s="16" t="s">
        <v>119</v>
      </c>
      <c r="B32" s="226"/>
      <c r="C32" s="100" t="s">
        <v>114</v>
      </c>
      <c r="D32" s="16">
        <f>B32*PREÇOS!J9</f>
        <v>0</v>
      </c>
      <c r="E32" s="16" t="s">
        <v>37</v>
      </c>
      <c r="F32" s="79"/>
      <c r="G32" s="16"/>
    </row>
    <row r="33" spans="1:7" x14ac:dyDescent="0.2">
      <c r="A33" s="16" t="s">
        <v>120</v>
      </c>
      <c r="B33" s="226">
        <v>10</v>
      </c>
      <c r="C33" s="100" t="s">
        <v>114</v>
      </c>
      <c r="D33" s="16">
        <f>B33*PREÇOS!J10</f>
        <v>903.16666666666663</v>
      </c>
      <c r="E33" s="16" t="s">
        <v>37</v>
      </c>
      <c r="F33" s="79"/>
      <c r="G33" s="16"/>
    </row>
    <row r="34" spans="1:7" x14ac:dyDescent="0.2">
      <c r="A34" s="16" t="s">
        <v>102</v>
      </c>
      <c r="B34" s="226"/>
      <c r="C34" s="100" t="s">
        <v>114</v>
      </c>
      <c r="D34" s="16">
        <f>B34*PREÇOS!J12</f>
        <v>0</v>
      </c>
      <c r="E34" s="16" t="s">
        <v>37</v>
      </c>
      <c r="F34" s="79"/>
      <c r="G34" s="16"/>
    </row>
    <row r="35" spans="1:7" x14ac:dyDescent="0.2">
      <c r="A35" s="16" t="s">
        <v>123</v>
      </c>
      <c r="B35" s="226"/>
      <c r="C35" s="100" t="s">
        <v>114</v>
      </c>
      <c r="D35" s="16">
        <f>B35*PREÇOS!J17</f>
        <v>0</v>
      </c>
      <c r="E35" s="16" t="s">
        <v>37</v>
      </c>
      <c r="F35" s="79"/>
      <c r="G35" s="16"/>
    </row>
    <row r="36" spans="1:7" x14ac:dyDescent="0.2">
      <c r="A36" s="16" t="s">
        <v>122</v>
      </c>
      <c r="B36" s="226"/>
      <c r="C36" s="100" t="s">
        <v>114</v>
      </c>
      <c r="D36" s="16">
        <f>B36*PREÇOS!J16</f>
        <v>0</v>
      </c>
      <c r="E36" s="16" t="s">
        <v>37</v>
      </c>
      <c r="F36" s="79"/>
      <c r="G36" s="16"/>
    </row>
    <row r="37" spans="1:7" x14ac:dyDescent="0.2">
      <c r="A37" s="16" t="s">
        <v>129</v>
      </c>
      <c r="B37" s="226"/>
      <c r="C37" s="100" t="s">
        <v>114</v>
      </c>
      <c r="D37" s="16">
        <f>B37*PREÇOS!J13</f>
        <v>0</v>
      </c>
      <c r="E37" s="16" t="s">
        <v>37</v>
      </c>
      <c r="F37" s="16"/>
    </row>
    <row r="38" spans="1:7" x14ac:dyDescent="0.2">
      <c r="A38" s="16" t="s">
        <v>130</v>
      </c>
      <c r="B38" s="227"/>
      <c r="C38" s="92" t="s">
        <v>128</v>
      </c>
      <c r="D38" s="16">
        <f>B38*PREÇOS!G20</f>
        <v>0</v>
      </c>
      <c r="E38" s="16" t="s">
        <v>37</v>
      </c>
      <c r="F38" s="79"/>
      <c r="G38" s="16"/>
    </row>
    <row r="39" spans="1:7" hidden="1" x14ac:dyDescent="0.2">
      <c r="A39" s="16" t="s">
        <v>300</v>
      </c>
      <c r="B39" s="226"/>
      <c r="C39" s="100" t="s">
        <v>114</v>
      </c>
      <c r="D39" s="16">
        <f>B39*PREÇOS!J14</f>
        <v>0</v>
      </c>
      <c r="E39" s="16" t="s">
        <v>37</v>
      </c>
      <c r="F39" s="79"/>
      <c r="G39" s="16"/>
    </row>
    <row r="40" spans="1:7" x14ac:dyDescent="0.2">
      <c r="A40" s="16" t="s">
        <v>340</v>
      </c>
      <c r="B40" s="226"/>
      <c r="C40" s="100" t="s">
        <v>114</v>
      </c>
      <c r="D40" s="16">
        <f>B40*PREÇOS!J18</f>
        <v>0</v>
      </c>
      <c r="E40" s="16" t="s">
        <v>37</v>
      </c>
      <c r="F40" s="16"/>
    </row>
    <row r="41" spans="1:7" x14ac:dyDescent="0.2">
      <c r="A41" s="16" t="s">
        <v>678</v>
      </c>
      <c r="B41" s="226"/>
      <c r="C41" s="100">
        <f>(10*20)*26</f>
        <v>5200</v>
      </c>
      <c r="D41" s="16"/>
      <c r="E41" s="16"/>
      <c r="F41" s="16"/>
    </row>
    <row r="42" spans="1:7" x14ac:dyDescent="0.2">
      <c r="A42" s="44" t="s">
        <v>493</v>
      </c>
      <c r="B42" s="222">
        <f>(D13+D18)*2*26</f>
        <v>572</v>
      </c>
      <c r="C42" s="125" t="s">
        <v>494</v>
      </c>
      <c r="D42" s="44">
        <f>B42*PREÇOS!J29</f>
        <v>200.2</v>
      </c>
      <c r="E42" s="44" t="s">
        <v>43</v>
      </c>
      <c r="F42" s="79"/>
      <c r="G42" s="16"/>
    </row>
    <row r="43" spans="1:7" hidden="1" x14ac:dyDescent="0.2">
      <c r="A43" s="16" t="s">
        <v>72</v>
      </c>
      <c r="B43" s="16"/>
      <c r="C43" s="16"/>
      <c r="D43" s="85"/>
      <c r="E43" s="16"/>
      <c r="F43" s="16"/>
      <c r="G43" s="16"/>
    </row>
    <row r="44" spans="1:7" hidden="1" x14ac:dyDescent="0.2">
      <c r="A44" s="16" t="s">
        <v>57</v>
      </c>
      <c r="B44" s="16"/>
      <c r="C44" s="16"/>
      <c r="D44" s="16" t="e">
        <f>D43*#REF!</f>
        <v>#REF!</v>
      </c>
      <c r="E44" s="16" t="s">
        <v>71</v>
      </c>
      <c r="F44" s="16"/>
      <c r="G44" s="16"/>
    </row>
    <row r="45" spans="1:7" x14ac:dyDescent="0.2">
      <c r="A45" s="76"/>
      <c r="B45" s="76"/>
      <c r="C45" s="76"/>
      <c r="D45" s="16"/>
      <c r="E45" s="16"/>
      <c r="F45" s="16"/>
      <c r="G45" s="16"/>
    </row>
    <row r="46" spans="1:7" x14ac:dyDescent="0.2">
      <c r="A46" s="101" t="s">
        <v>205</v>
      </c>
      <c r="B46" s="101"/>
      <c r="C46" s="101"/>
      <c r="D46" s="33">
        <f>SUM(D28:D42)</f>
        <v>2053.0333333333333</v>
      </c>
      <c r="E46" s="33" t="s">
        <v>131</v>
      </c>
      <c r="F46" s="16"/>
      <c r="G46" s="16"/>
    </row>
    <row r="47" spans="1:7" hidden="1" x14ac:dyDescent="0.2">
      <c r="A47" s="76"/>
      <c r="B47" s="76"/>
      <c r="C47" s="76"/>
      <c r="D47" s="16"/>
      <c r="E47" s="16"/>
      <c r="F47" s="16"/>
      <c r="G47" s="16"/>
    </row>
    <row r="48" spans="1:7" hidden="1" x14ac:dyDescent="0.2">
      <c r="A48" s="99" t="s">
        <v>314</v>
      </c>
      <c r="B48" s="94"/>
      <c r="C48" s="94"/>
      <c r="D48" s="16"/>
      <c r="E48" s="16"/>
      <c r="F48" s="16"/>
      <c r="G48" s="16"/>
    </row>
    <row r="49" spans="1:17" hidden="1" x14ac:dyDescent="0.2">
      <c r="A49" s="16"/>
      <c r="B49" s="16"/>
      <c r="C49" s="16"/>
      <c r="D49" s="16"/>
      <c r="E49" s="16"/>
      <c r="F49" s="16"/>
      <c r="G49" s="16"/>
    </row>
    <row r="50" spans="1:17" hidden="1" x14ac:dyDescent="0.2">
      <c r="A50" s="16" t="s">
        <v>315</v>
      </c>
      <c r="B50" s="16"/>
      <c r="C50" s="16"/>
      <c r="D50" s="16"/>
      <c r="E50" s="16" t="s">
        <v>308</v>
      </c>
      <c r="F50" s="16"/>
      <c r="G50" s="16"/>
    </row>
    <row r="51" spans="1:17" hidden="1" x14ac:dyDescent="0.2">
      <c r="A51" s="16" t="s">
        <v>316</v>
      </c>
      <c r="B51" s="16"/>
      <c r="C51" s="16"/>
      <c r="D51" s="16" t="e">
        <f>#REF!</f>
        <v>#REF!</v>
      </c>
      <c r="E51" s="16" t="s">
        <v>307</v>
      </c>
      <c r="F51" s="16"/>
      <c r="G51" s="16"/>
    </row>
    <row r="52" spans="1:17" hidden="1" x14ac:dyDescent="0.2">
      <c r="A52" s="16" t="s">
        <v>317</v>
      </c>
      <c r="B52" s="16"/>
      <c r="C52" s="16"/>
      <c r="D52" s="16" t="e">
        <f>D50*D51</f>
        <v>#REF!</v>
      </c>
      <c r="E52" s="16" t="s">
        <v>43</v>
      </c>
      <c r="F52" s="16"/>
      <c r="G52" s="16"/>
    </row>
    <row r="53" spans="1:17" hidden="1" x14ac:dyDescent="0.2">
      <c r="A53" s="76"/>
      <c r="B53" s="76"/>
      <c r="C53" s="76"/>
      <c r="D53" s="16"/>
      <c r="E53" s="16"/>
      <c r="F53" s="16"/>
      <c r="G53" s="16"/>
    </row>
    <row r="54" spans="1:17" hidden="1" x14ac:dyDescent="0.2">
      <c r="A54" s="101" t="s">
        <v>302</v>
      </c>
      <c r="B54" s="101"/>
      <c r="C54" s="101"/>
      <c r="D54" s="33" t="e">
        <f>D52</f>
        <v>#REF!</v>
      </c>
      <c r="E54" s="33" t="s">
        <v>131</v>
      </c>
      <c r="F54" s="16"/>
      <c r="G54" s="16"/>
    </row>
    <row r="55" spans="1:17" x14ac:dyDescent="0.2">
      <c r="A55" s="76"/>
      <c r="B55" s="76"/>
      <c r="C55" s="76"/>
      <c r="D55" s="16"/>
      <c r="E55" s="16"/>
      <c r="F55" s="16"/>
      <c r="G55" s="16"/>
    </row>
    <row r="56" spans="1:17" s="132" customFormat="1" hidden="1" x14ac:dyDescent="0.2">
      <c r="A56" s="127" t="s">
        <v>524</v>
      </c>
      <c r="B56" s="44"/>
      <c r="C56" s="44"/>
      <c r="D56" s="44"/>
      <c r="E56" s="44"/>
      <c r="F56" s="44"/>
      <c r="G56" s="44"/>
      <c r="H56" s="44"/>
      <c r="I56" s="44"/>
      <c r="O56" s="157"/>
      <c r="Q56" s="69"/>
    </row>
    <row r="57" spans="1:17" s="132" customFormat="1" hidden="1" x14ac:dyDescent="0.2">
      <c r="A57" s="127"/>
      <c r="B57" s="44"/>
      <c r="C57" s="44"/>
      <c r="D57" s="44"/>
      <c r="E57" s="44"/>
      <c r="F57" s="44"/>
      <c r="G57" s="44"/>
      <c r="H57" s="44"/>
      <c r="I57" s="44"/>
      <c r="O57" s="157"/>
      <c r="Q57" s="69"/>
    </row>
    <row r="58" spans="1:17" s="132" customFormat="1" hidden="1" x14ac:dyDescent="0.2">
      <c r="A58" s="225" t="s">
        <v>525</v>
      </c>
      <c r="B58" s="44"/>
      <c r="C58" s="44"/>
      <c r="D58" s="44"/>
      <c r="E58" s="44"/>
      <c r="F58" s="44"/>
      <c r="G58" s="44"/>
      <c r="H58" s="44"/>
      <c r="I58" s="44"/>
      <c r="O58" s="157"/>
      <c r="Q58" s="69"/>
    </row>
    <row r="59" spans="1:17" s="132" customFormat="1" hidden="1" x14ac:dyDescent="0.2">
      <c r="A59" s="225" t="s">
        <v>526</v>
      </c>
      <c r="B59" s="44"/>
      <c r="C59" s="44"/>
      <c r="D59" s="44">
        <f>63*1.5</f>
        <v>94.5</v>
      </c>
      <c r="E59" s="44" t="s">
        <v>496</v>
      </c>
      <c r="F59" s="44"/>
      <c r="G59" s="44"/>
      <c r="H59" s="44"/>
      <c r="I59" s="44"/>
      <c r="O59" s="157"/>
      <c r="Q59" s="69"/>
    </row>
    <row r="60" spans="1:17" s="132" customFormat="1" hidden="1" x14ac:dyDescent="0.2">
      <c r="A60" s="225" t="s">
        <v>527</v>
      </c>
      <c r="B60" s="44"/>
      <c r="C60" s="44"/>
      <c r="D60" s="44">
        <f>47.25*1.3</f>
        <v>61.425000000000004</v>
      </c>
      <c r="E60" s="44" t="s">
        <v>506</v>
      </c>
      <c r="F60" s="44"/>
      <c r="G60" s="44"/>
      <c r="H60" s="44"/>
      <c r="I60" s="44"/>
      <c r="O60" s="157"/>
      <c r="Q60" s="69"/>
    </row>
    <row r="61" spans="1:17" s="132" customFormat="1" hidden="1" x14ac:dyDescent="0.2">
      <c r="A61" s="225"/>
      <c r="B61" s="44"/>
      <c r="C61" s="44"/>
      <c r="D61" s="44"/>
      <c r="E61" s="44"/>
      <c r="F61" s="44"/>
      <c r="G61" s="44"/>
      <c r="H61" s="44"/>
      <c r="I61" s="44"/>
      <c r="O61" s="157"/>
      <c r="Q61" s="69"/>
    </row>
    <row r="62" spans="1:17" s="132" customFormat="1" hidden="1" x14ac:dyDescent="0.2">
      <c r="A62" s="225" t="s">
        <v>528</v>
      </c>
      <c r="B62" s="44"/>
      <c r="C62" s="44"/>
      <c r="D62" s="44"/>
      <c r="E62" s="44"/>
      <c r="F62" s="44"/>
      <c r="G62" s="44"/>
      <c r="H62" s="44"/>
      <c r="I62" s="44"/>
      <c r="O62" s="157"/>
      <c r="Q62" s="69"/>
    </row>
    <row r="63" spans="1:17" s="132" customFormat="1" hidden="1" x14ac:dyDescent="0.2">
      <c r="A63" s="225" t="s">
        <v>529</v>
      </c>
      <c r="B63" s="44"/>
      <c r="C63" s="44"/>
      <c r="D63" s="44">
        <v>800</v>
      </c>
      <c r="E63" s="44" t="s">
        <v>505</v>
      </c>
      <c r="F63" s="44"/>
      <c r="G63" s="44"/>
      <c r="H63" s="44"/>
      <c r="I63" s="44"/>
      <c r="O63" s="157"/>
      <c r="Q63" s="69"/>
    </row>
    <row r="64" spans="1:17" s="132" customFormat="1" hidden="1" x14ac:dyDescent="0.2">
      <c r="A64" s="225" t="s">
        <v>530</v>
      </c>
      <c r="B64" s="44"/>
      <c r="C64" s="44"/>
      <c r="D64" s="44">
        <v>60</v>
      </c>
      <c r="E64" s="44" t="s">
        <v>506</v>
      </c>
      <c r="F64" s="44"/>
      <c r="G64" s="44"/>
      <c r="H64" s="44"/>
      <c r="I64" s="44"/>
      <c r="O64" s="157"/>
      <c r="Q64" s="69"/>
    </row>
    <row r="65" spans="1:17" s="132" customFormat="1" hidden="1" x14ac:dyDescent="0.2">
      <c r="A65" s="225" t="s">
        <v>531</v>
      </c>
      <c r="B65" s="44"/>
      <c r="C65" s="44"/>
      <c r="D65" s="44">
        <v>30</v>
      </c>
      <c r="E65" s="44" t="s">
        <v>55</v>
      </c>
      <c r="F65" s="44"/>
      <c r="G65" s="44"/>
      <c r="H65" s="44"/>
      <c r="I65" s="44"/>
      <c r="O65" s="157"/>
      <c r="Q65" s="69"/>
    </row>
    <row r="66" spans="1:17" s="132" customFormat="1" hidden="1" x14ac:dyDescent="0.2">
      <c r="A66" s="44" t="s">
        <v>532</v>
      </c>
      <c r="B66" s="44"/>
      <c r="C66" s="44"/>
      <c r="D66" s="44">
        <f>(D63/D65)+D64</f>
        <v>86.666666666666671</v>
      </c>
      <c r="E66" s="44" t="s">
        <v>507</v>
      </c>
      <c r="F66" s="44"/>
      <c r="G66" s="44"/>
      <c r="H66" s="44"/>
      <c r="I66" s="44"/>
      <c r="O66" s="157"/>
      <c r="Q66" s="69"/>
    </row>
    <row r="67" spans="1:17" s="132" customFormat="1" hidden="1" x14ac:dyDescent="0.2">
      <c r="A67" s="44"/>
      <c r="B67" s="44"/>
      <c r="C67" s="44"/>
      <c r="D67" s="44"/>
      <c r="E67" s="44"/>
      <c r="F67" s="44"/>
      <c r="G67" s="44"/>
      <c r="H67" s="44"/>
      <c r="I67" s="44"/>
      <c r="O67" s="157"/>
      <c r="Q67" s="69"/>
    </row>
    <row r="68" spans="1:17" s="132" customFormat="1" hidden="1" x14ac:dyDescent="0.2">
      <c r="A68" s="44" t="s">
        <v>533</v>
      </c>
      <c r="B68" s="44"/>
      <c r="C68" s="44"/>
      <c r="D68" s="44"/>
      <c r="E68" s="44"/>
      <c r="F68" s="44"/>
      <c r="G68" s="44"/>
      <c r="H68" s="44"/>
      <c r="I68" s="44"/>
      <c r="O68" s="157"/>
      <c r="Q68" s="69"/>
    </row>
    <row r="69" spans="1:17" s="132" customFormat="1" hidden="1" x14ac:dyDescent="0.2">
      <c r="A69" s="44" t="s">
        <v>534</v>
      </c>
      <c r="B69" s="44"/>
      <c r="C69" s="44"/>
      <c r="D69" s="44">
        <v>0</v>
      </c>
      <c r="E69" s="44" t="s">
        <v>514</v>
      </c>
      <c r="F69" s="44"/>
      <c r="G69" s="44"/>
      <c r="H69" s="44"/>
      <c r="I69" s="44"/>
      <c r="O69" s="157"/>
      <c r="Q69" s="69"/>
    </row>
    <row r="70" spans="1:17" s="132" customFormat="1" hidden="1" x14ac:dyDescent="0.2">
      <c r="A70" s="44" t="s">
        <v>535</v>
      </c>
      <c r="B70" s="44"/>
      <c r="C70" s="44"/>
      <c r="D70" s="44">
        <v>0</v>
      </c>
      <c r="E70" s="44" t="s">
        <v>514</v>
      </c>
      <c r="F70" s="44"/>
      <c r="G70" s="44"/>
      <c r="H70" s="44"/>
      <c r="I70" s="44"/>
      <c r="O70" s="157"/>
      <c r="Q70" s="69"/>
    </row>
    <row r="71" spans="1:17" s="132" customFormat="1" hidden="1" x14ac:dyDescent="0.2">
      <c r="A71" s="44" t="s">
        <v>536</v>
      </c>
      <c r="B71" s="44"/>
      <c r="C71" s="44"/>
      <c r="D71" s="44">
        <f>D59*D69</f>
        <v>0</v>
      </c>
      <c r="E71" s="44" t="s">
        <v>515</v>
      </c>
      <c r="F71" s="44"/>
      <c r="G71" s="44"/>
      <c r="H71" s="44"/>
      <c r="I71" s="44"/>
      <c r="O71" s="157"/>
      <c r="Q71" s="69"/>
    </row>
    <row r="72" spans="1:17" s="132" customFormat="1" hidden="1" x14ac:dyDescent="0.2">
      <c r="A72" s="44" t="s">
        <v>537</v>
      </c>
      <c r="B72" s="44"/>
      <c r="C72" s="44"/>
      <c r="D72" s="44">
        <f>D70*D60</f>
        <v>0</v>
      </c>
      <c r="E72" s="44" t="s">
        <v>506</v>
      </c>
      <c r="F72" s="44"/>
      <c r="G72" s="44"/>
      <c r="H72" s="44"/>
      <c r="I72" s="44"/>
      <c r="O72" s="157"/>
      <c r="Q72" s="69"/>
    </row>
    <row r="73" spans="1:17" s="132" customFormat="1" hidden="1" x14ac:dyDescent="0.2">
      <c r="A73" s="44" t="s">
        <v>538</v>
      </c>
      <c r="B73" s="44"/>
      <c r="C73" s="44"/>
      <c r="D73" s="44"/>
      <c r="E73" s="44" t="s">
        <v>514</v>
      </c>
      <c r="F73" s="44"/>
      <c r="G73" s="44"/>
      <c r="H73" s="44"/>
      <c r="I73" s="44"/>
      <c r="O73" s="157"/>
      <c r="Q73" s="69"/>
    </row>
    <row r="74" spans="1:17" s="132" customFormat="1" hidden="1" x14ac:dyDescent="0.2">
      <c r="A74" s="44" t="s">
        <v>539</v>
      </c>
      <c r="B74" s="44"/>
      <c r="C74" s="44"/>
      <c r="D74" s="44">
        <f>D66*D73</f>
        <v>0</v>
      </c>
      <c r="E74" s="44" t="s">
        <v>518</v>
      </c>
      <c r="F74" s="44"/>
      <c r="G74" s="44"/>
      <c r="H74" s="44"/>
      <c r="I74" s="44"/>
      <c r="O74" s="157"/>
      <c r="Q74" s="69"/>
    </row>
    <row r="75" spans="1:17" hidden="1" x14ac:dyDescent="0.2">
      <c r="A75" s="16"/>
      <c r="B75" s="16"/>
      <c r="C75" s="16"/>
      <c r="D75" s="16"/>
      <c r="E75" s="16"/>
      <c r="F75" s="16"/>
      <c r="G75" s="16"/>
    </row>
    <row r="76" spans="1:17" s="132" customFormat="1" hidden="1" x14ac:dyDescent="0.2">
      <c r="A76" s="122" t="s">
        <v>513</v>
      </c>
      <c r="B76" s="122"/>
      <c r="C76" s="122"/>
      <c r="D76" s="122">
        <f>D71+D72+D74</f>
        <v>0</v>
      </c>
      <c r="E76" s="122" t="s">
        <v>131</v>
      </c>
      <c r="F76" s="44"/>
      <c r="G76" s="44"/>
      <c r="H76" s="44"/>
      <c r="I76" s="44"/>
      <c r="O76" s="157"/>
      <c r="Q76" s="69"/>
    </row>
    <row r="77" spans="1:17" hidden="1" x14ac:dyDescent="0.2">
      <c r="A77" s="76"/>
      <c r="B77" s="76"/>
      <c r="C77" s="76"/>
      <c r="D77" s="16"/>
      <c r="E77" s="16"/>
      <c r="F77" s="16"/>
      <c r="G77" s="16"/>
    </row>
    <row r="78" spans="1:17" x14ac:dyDescent="0.2">
      <c r="A78" s="86" t="s">
        <v>66</v>
      </c>
      <c r="B78" s="84"/>
      <c r="C78" s="84"/>
      <c r="D78" s="16"/>
      <c r="E78" s="16"/>
      <c r="F78" s="16"/>
      <c r="G78" s="16"/>
    </row>
    <row r="79" spans="1:17" x14ac:dyDescent="0.2">
      <c r="A79" s="84"/>
      <c r="B79" s="84"/>
      <c r="C79" s="84"/>
      <c r="D79" s="16"/>
      <c r="E79" s="16"/>
      <c r="F79" s="16"/>
      <c r="G79" s="16"/>
    </row>
    <row r="80" spans="1:17" x14ac:dyDescent="0.2">
      <c r="A80" s="16" t="s">
        <v>68</v>
      </c>
      <c r="B80" s="16"/>
      <c r="C80" s="16"/>
      <c r="D80" s="16">
        <f>D24</f>
        <v>45492.132772427321</v>
      </c>
      <c r="E80" s="16" t="s">
        <v>37</v>
      </c>
      <c r="F80" s="16"/>
      <c r="G80" s="16"/>
    </row>
    <row r="81" spans="1:17" hidden="1" x14ac:dyDescent="0.2">
      <c r="A81" s="16" t="s">
        <v>58</v>
      </c>
      <c r="B81" s="16"/>
      <c r="C81" s="16"/>
      <c r="D81" s="16"/>
      <c r="E81" s="16" t="s">
        <v>37</v>
      </c>
      <c r="F81" s="16"/>
      <c r="G81" s="16"/>
    </row>
    <row r="82" spans="1:17" x14ac:dyDescent="0.2">
      <c r="A82" s="16" t="s">
        <v>541</v>
      </c>
      <c r="B82" s="16"/>
      <c r="C82" s="16"/>
      <c r="D82" s="16">
        <f>D46</f>
        <v>2053.0333333333333</v>
      </c>
      <c r="E82" s="16" t="s">
        <v>37</v>
      </c>
      <c r="F82" s="16"/>
      <c r="G82" s="16"/>
    </row>
    <row r="83" spans="1:17" x14ac:dyDescent="0.2">
      <c r="A83" s="44" t="s">
        <v>519</v>
      </c>
      <c r="B83" s="16"/>
      <c r="C83" s="16"/>
      <c r="D83" s="98">
        <f>D76</f>
        <v>0</v>
      </c>
      <c r="E83" s="16" t="s">
        <v>37</v>
      </c>
      <c r="F83" s="16"/>
      <c r="G83" s="16"/>
      <c r="H83" s="63"/>
    </row>
    <row r="84" spans="1:17" x14ac:dyDescent="0.2">
      <c r="A84" s="16"/>
      <c r="B84" s="16"/>
      <c r="C84" s="16"/>
      <c r="D84" s="16"/>
      <c r="E84" s="16"/>
      <c r="F84" s="16"/>
      <c r="G84" s="16"/>
    </row>
    <row r="85" spans="1:17" x14ac:dyDescent="0.2">
      <c r="A85" s="33" t="s">
        <v>193</v>
      </c>
      <c r="B85" s="33"/>
      <c r="C85" s="33"/>
      <c r="D85" s="33">
        <f>SUM(D80:D83)</f>
        <v>47545.166105760654</v>
      </c>
      <c r="E85" s="33" t="s">
        <v>131</v>
      </c>
      <c r="F85" s="16"/>
      <c r="G85" s="16"/>
    </row>
    <row r="86" spans="1:17" x14ac:dyDescent="0.2">
      <c r="A86" s="16"/>
      <c r="B86" s="16"/>
      <c r="C86" s="16"/>
      <c r="D86" s="16" t="s">
        <v>8</v>
      </c>
      <c r="E86" s="16"/>
      <c r="F86" s="16"/>
      <c r="G86" s="16"/>
    </row>
    <row r="87" spans="1:17" s="103" customFormat="1" x14ac:dyDescent="0.2">
      <c r="A87" s="122" t="s">
        <v>391</v>
      </c>
      <c r="B87" s="176">
        <f>BDI!C12/100</f>
        <v>0.29712344612244879</v>
      </c>
      <c r="C87" s="122"/>
      <c r="D87" s="165">
        <f>D89-D85</f>
        <v>14126.783599807852</v>
      </c>
      <c r="E87" s="122" t="s">
        <v>131</v>
      </c>
      <c r="F87" s="165"/>
      <c r="G87" s="122"/>
      <c r="H87" s="40"/>
      <c r="I87" s="69"/>
      <c r="O87" s="174"/>
      <c r="Q87" s="146"/>
    </row>
    <row r="88" spans="1:17" x14ac:dyDescent="0.2">
      <c r="A88" s="16"/>
      <c r="B88" s="16"/>
      <c r="C88" s="16"/>
      <c r="D88" s="16"/>
      <c r="E88" s="16"/>
      <c r="F88" s="153"/>
      <c r="G88" s="154"/>
      <c r="H88" s="16"/>
    </row>
    <row r="89" spans="1:17" x14ac:dyDescent="0.2">
      <c r="A89" s="87" t="s">
        <v>201</v>
      </c>
      <c r="B89" s="90"/>
      <c r="C89" s="90"/>
      <c r="D89" s="33">
        <f>D85*BDI!C20</f>
        <v>61671.949705568506</v>
      </c>
      <c r="E89" s="33" t="s">
        <v>37</v>
      </c>
      <c r="F89" s="152"/>
      <c r="G89" s="151"/>
      <c r="H89" s="16"/>
      <c r="I89" s="89"/>
      <c r="M89" s="11">
        <f>110*9</f>
        <v>990</v>
      </c>
    </row>
    <row r="90" spans="1:17" x14ac:dyDescent="0.2">
      <c r="A90" s="88" t="s">
        <v>202</v>
      </c>
      <c r="B90" s="33"/>
      <c r="C90" s="33"/>
      <c r="D90" s="33">
        <v>1</v>
      </c>
      <c r="E90" s="33" t="s">
        <v>443</v>
      </c>
      <c r="F90" s="16"/>
      <c r="G90" s="16"/>
    </row>
    <row r="91" spans="1:17" x14ac:dyDescent="0.2">
      <c r="A91" s="88" t="s">
        <v>203</v>
      </c>
      <c r="B91" s="33"/>
      <c r="C91" s="33"/>
      <c r="D91" s="33">
        <f>ROUND(D89/D90,2)</f>
        <v>61671.95</v>
      </c>
      <c r="E91" s="33" t="s">
        <v>444</v>
      </c>
      <c r="F91" s="11"/>
      <c r="G91" s="16"/>
    </row>
    <row r="92" spans="1:17" x14ac:dyDescent="0.2">
      <c r="A92" s="16"/>
      <c r="B92" s="16"/>
      <c r="C92" s="16"/>
      <c r="D92" s="16"/>
      <c r="E92" s="16"/>
      <c r="F92" s="16"/>
      <c r="G92" s="16"/>
    </row>
    <row r="93" spans="1:17" x14ac:dyDescent="0.2">
      <c r="G93" s="16"/>
    </row>
    <row r="94" spans="1:17" x14ac:dyDescent="0.2">
      <c r="G94" s="16"/>
    </row>
    <row r="95" spans="1:17" x14ac:dyDescent="0.2">
      <c r="G95" s="16"/>
    </row>
    <row r="96" spans="1:17" x14ac:dyDescent="0.2">
      <c r="D96" s="16"/>
    </row>
    <row r="99" spans="4:4" x14ac:dyDescent="0.2">
      <c r="D99" s="96"/>
    </row>
  </sheetData>
  <mergeCells count="3">
    <mergeCell ref="A1:E1"/>
    <mergeCell ref="A2:E2"/>
    <mergeCell ref="A7:E7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98"/>
  <sheetViews>
    <sheetView view="pageBreakPreview" topLeftCell="A27" workbookViewId="0">
      <selection activeCell="D16" sqref="D16"/>
    </sheetView>
  </sheetViews>
  <sheetFormatPr defaultColWidth="9.33203125" defaultRowHeight="12.75" x14ac:dyDescent="0.2"/>
  <cols>
    <col min="1" max="1" width="50.83203125" style="13" customWidth="1"/>
    <col min="2" max="2" width="10.83203125" style="13" customWidth="1"/>
    <col min="3" max="3" width="7.5" style="13" customWidth="1"/>
    <col min="4" max="4" width="14.83203125" style="13" customWidth="1"/>
    <col min="5" max="5" width="20.83203125" style="13" customWidth="1"/>
    <col min="6" max="6" width="11.33203125" style="13" customWidth="1"/>
    <col min="7" max="7" width="11.83203125" style="11" bestFit="1" customWidth="1"/>
    <col min="8" max="8" width="9.33203125" style="63"/>
    <col min="9" max="9" width="12.1640625" style="11" bestFit="1" customWidth="1"/>
    <col min="10" max="10" width="9.33203125" style="11"/>
    <col min="11" max="11" width="15.6640625" style="11" customWidth="1"/>
    <col min="12" max="16384" width="9.33203125" style="11"/>
  </cols>
  <sheetData>
    <row r="1" spans="1:9" ht="18.75" hidden="1" x14ac:dyDescent="0.3">
      <c r="A1" s="338" t="s">
        <v>226</v>
      </c>
      <c r="B1" s="338"/>
      <c r="C1" s="338"/>
      <c r="D1" s="338"/>
      <c r="E1" s="338"/>
      <c r="F1" s="10"/>
    </row>
    <row r="2" spans="1:9" ht="18" hidden="1" customHeight="1" x14ac:dyDescent="0.25">
      <c r="A2" s="338"/>
      <c r="B2" s="338"/>
      <c r="C2" s="338"/>
      <c r="D2" s="338"/>
      <c r="E2" s="338"/>
      <c r="F2" s="12"/>
    </row>
    <row r="3" spans="1:9" hidden="1" x14ac:dyDescent="0.2"/>
    <row r="4" spans="1:9" hidden="1" x14ac:dyDescent="0.2">
      <c r="A4" s="357"/>
      <c r="B4" s="357"/>
    </row>
    <row r="5" spans="1:9" hidden="1" x14ac:dyDescent="0.2"/>
    <row r="6" spans="1:9" hidden="1" x14ac:dyDescent="0.2">
      <c r="A6" s="14" t="s">
        <v>228</v>
      </c>
      <c r="D6" s="14" t="s">
        <v>222</v>
      </c>
    </row>
    <row r="8" spans="1:9" x14ac:dyDescent="0.2">
      <c r="A8" s="339" t="s">
        <v>0</v>
      </c>
      <c r="B8" s="339"/>
      <c r="C8" s="339"/>
      <c r="D8" s="339"/>
      <c r="E8" s="339"/>
      <c r="F8" s="72"/>
    </row>
    <row r="9" spans="1:9" x14ac:dyDescent="0.2">
      <c r="A9" s="16"/>
      <c r="B9" s="16"/>
      <c r="C9" s="16"/>
      <c r="D9" s="16"/>
      <c r="E9" s="16"/>
      <c r="F9" s="16"/>
    </row>
    <row r="10" spans="1:9" ht="12.75" customHeight="1" x14ac:dyDescent="0.2">
      <c r="A10" s="73" t="s">
        <v>665</v>
      </c>
      <c r="B10" s="73"/>
      <c r="C10" s="73"/>
      <c r="D10" s="18"/>
      <c r="E10" s="74"/>
      <c r="F10" s="18"/>
    </row>
    <row r="11" spans="1:9" x14ac:dyDescent="0.2">
      <c r="A11" s="16"/>
      <c r="B11" s="16"/>
      <c r="C11" s="16"/>
      <c r="D11" s="16"/>
      <c r="E11" s="16"/>
      <c r="F11" s="16"/>
    </row>
    <row r="12" spans="1:9" x14ac:dyDescent="0.2">
      <c r="A12" s="86" t="s">
        <v>34</v>
      </c>
      <c r="B12" s="84"/>
      <c r="C12" s="84"/>
      <c r="D12" s="16"/>
      <c r="E12" s="16"/>
      <c r="F12" s="16"/>
    </row>
    <row r="13" spans="1:9" x14ac:dyDescent="0.2">
      <c r="A13" s="16"/>
      <c r="B13" s="16"/>
      <c r="C13" s="16"/>
      <c r="D13" s="16"/>
      <c r="E13" s="16"/>
      <c r="F13" s="16"/>
    </row>
    <row r="14" spans="1:9" x14ac:dyDescent="0.2">
      <c r="A14" s="76" t="s">
        <v>170</v>
      </c>
      <c r="B14" s="76"/>
      <c r="C14" s="76"/>
      <c r="D14" s="16">
        <v>10</v>
      </c>
      <c r="E14" s="16" t="s">
        <v>35</v>
      </c>
      <c r="F14" s="16"/>
      <c r="I14" s="63"/>
    </row>
    <row r="15" spans="1:9" x14ac:dyDescent="0.2">
      <c r="A15" s="65" t="s">
        <v>339</v>
      </c>
      <c r="B15" s="65"/>
      <c r="C15" s="65"/>
      <c r="D15" s="16">
        <f>VARREDOR!B34</f>
        <v>3070.8678666666665</v>
      </c>
      <c r="E15" s="65" t="s">
        <v>36</v>
      </c>
      <c r="F15" s="16"/>
    </row>
    <row r="16" spans="1:9" x14ac:dyDescent="0.2">
      <c r="A16" s="65" t="s">
        <v>486</v>
      </c>
      <c r="B16" s="65"/>
      <c r="C16" s="65"/>
      <c r="D16" s="16"/>
      <c r="E16" s="16" t="s">
        <v>37</v>
      </c>
      <c r="F16" s="16"/>
      <c r="G16" s="16"/>
    </row>
    <row r="17" spans="1:10" x14ac:dyDescent="0.2">
      <c r="A17" s="76" t="s">
        <v>445</v>
      </c>
      <c r="B17" s="76"/>
      <c r="C17" s="76"/>
      <c r="D17" s="16">
        <f>(D15*D14)+D16</f>
        <v>30708.678666666667</v>
      </c>
      <c r="E17" s="16" t="s">
        <v>37</v>
      </c>
      <c r="F17" s="16"/>
    </row>
    <row r="18" spans="1:10" x14ac:dyDescent="0.2">
      <c r="A18" s="76"/>
      <c r="B18" s="76"/>
      <c r="C18" s="76"/>
      <c r="D18" s="16"/>
      <c r="E18" s="16"/>
      <c r="F18" s="16"/>
    </row>
    <row r="19" spans="1:10" x14ac:dyDescent="0.2">
      <c r="A19" s="65" t="s">
        <v>38</v>
      </c>
      <c r="B19" s="65"/>
      <c r="C19" s="65"/>
      <c r="D19" s="16">
        <v>1</v>
      </c>
      <c r="E19" s="16" t="s">
        <v>35</v>
      </c>
      <c r="F19" s="16"/>
    </row>
    <row r="20" spans="1:10" x14ac:dyDescent="0.2">
      <c r="A20" s="16" t="s">
        <v>321</v>
      </c>
      <c r="B20" s="16"/>
      <c r="C20" s="16"/>
      <c r="D20" s="16">
        <f>'ENC I'!B32</f>
        <v>5896.6907724273269</v>
      </c>
      <c r="E20" s="16" t="s">
        <v>36</v>
      </c>
      <c r="F20" s="16"/>
    </row>
    <row r="21" spans="1:10" x14ac:dyDescent="0.2">
      <c r="A21" s="65" t="s">
        <v>487</v>
      </c>
      <c r="B21" s="65"/>
      <c r="C21" s="65"/>
      <c r="D21" s="16"/>
      <c r="E21" s="16" t="s">
        <v>37</v>
      </c>
      <c r="F21" s="16"/>
    </row>
    <row r="22" spans="1:10" x14ac:dyDescent="0.2">
      <c r="A22" s="16" t="s">
        <v>320</v>
      </c>
      <c r="B22" s="16"/>
      <c r="C22" s="16"/>
      <c r="D22" s="16">
        <f>(D20*D19)+D21</f>
        <v>5896.6907724273269</v>
      </c>
      <c r="E22" s="16" t="s">
        <v>37</v>
      </c>
      <c r="F22" s="16"/>
    </row>
    <row r="23" spans="1:10" hidden="1" x14ac:dyDescent="0.2">
      <c r="A23" s="16"/>
      <c r="B23" s="16"/>
      <c r="C23" s="16"/>
      <c r="D23" s="16"/>
      <c r="E23" s="16"/>
      <c r="F23" s="16"/>
    </row>
    <row r="24" spans="1:10" hidden="1" x14ac:dyDescent="0.2">
      <c r="A24" s="65" t="s">
        <v>49</v>
      </c>
      <c r="B24" s="65"/>
      <c r="C24" s="65"/>
      <c r="D24" s="16"/>
      <c r="E24" s="16" t="s">
        <v>35</v>
      </c>
      <c r="F24" s="16"/>
      <c r="G24" s="16"/>
      <c r="J24" s="11">
        <v>3</v>
      </c>
    </row>
    <row r="25" spans="1:10" hidden="1" x14ac:dyDescent="0.2">
      <c r="A25" s="65" t="s">
        <v>50</v>
      </c>
      <c r="B25" s="65"/>
      <c r="C25" s="65"/>
      <c r="D25" s="16">
        <f>MOTORISTA!B32</f>
        <v>5407.0828585454556</v>
      </c>
      <c r="E25" s="16" t="s">
        <v>36</v>
      </c>
      <c r="F25" s="16"/>
      <c r="G25" s="16"/>
      <c r="J25" s="11">
        <f>J22*J24</f>
        <v>0</v>
      </c>
    </row>
    <row r="26" spans="1:10" hidden="1" x14ac:dyDescent="0.2">
      <c r="A26" s="76" t="s">
        <v>52</v>
      </c>
      <c r="B26" s="76"/>
      <c r="C26" s="76"/>
      <c r="D26" s="16">
        <f>D24*D25</f>
        <v>0</v>
      </c>
      <c r="E26" s="16" t="s">
        <v>43</v>
      </c>
      <c r="F26" s="16"/>
      <c r="G26" s="16"/>
    </row>
    <row r="27" spans="1:10" x14ac:dyDescent="0.2">
      <c r="A27" s="16"/>
      <c r="B27" s="16"/>
      <c r="C27" s="16"/>
      <c r="D27" s="16"/>
      <c r="E27" s="16"/>
      <c r="F27" s="16"/>
    </row>
    <row r="28" spans="1:10" x14ac:dyDescent="0.2">
      <c r="A28" s="33" t="s">
        <v>199</v>
      </c>
      <c r="B28" s="33"/>
      <c r="C28" s="33"/>
      <c r="D28" s="33">
        <f>D17+D22+D26</f>
        <v>36605.369439093993</v>
      </c>
      <c r="E28" s="33" t="s">
        <v>131</v>
      </c>
      <c r="F28" s="16"/>
    </row>
    <row r="29" spans="1:10" x14ac:dyDescent="0.2">
      <c r="A29" s="16"/>
      <c r="B29" s="16"/>
      <c r="C29" s="16"/>
      <c r="D29" s="16"/>
      <c r="E29" s="16"/>
      <c r="F29" s="16"/>
    </row>
    <row r="30" spans="1:10" x14ac:dyDescent="0.2">
      <c r="A30" s="99" t="s">
        <v>540</v>
      </c>
      <c r="B30" s="94"/>
      <c r="C30" s="94"/>
      <c r="D30" s="82"/>
      <c r="E30" s="16"/>
      <c r="F30" s="16"/>
    </row>
    <row r="31" spans="1:10" x14ac:dyDescent="0.2">
      <c r="A31" s="81"/>
      <c r="B31" s="81"/>
      <c r="C31" s="81"/>
      <c r="D31" s="82"/>
      <c r="E31" s="16"/>
      <c r="G31" s="16"/>
      <c r="H31" s="97"/>
    </row>
    <row r="32" spans="1:10" x14ac:dyDescent="0.2">
      <c r="A32" s="23" t="s">
        <v>113</v>
      </c>
      <c r="B32" s="226">
        <v>7</v>
      </c>
      <c r="C32" s="80" t="s">
        <v>114</v>
      </c>
      <c r="D32" s="16">
        <f>B32*PREÇOS!J6</f>
        <v>101.26666666666667</v>
      </c>
      <c r="E32" s="16" t="s">
        <v>37</v>
      </c>
      <c r="G32" s="210"/>
      <c r="H32" s="228"/>
    </row>
    <row r="33" spans="1:8" x14ac:dyDescent="0.2">
      <c r="A33" s="16" t="s">
        <v>116</v>
      </c>
      <c r="B33" s="226">
        <v>5</v>
      </c>
      <c r="C33" s="80" t="s">
        <v>114</v>
      </c>
      <c r="D33" s="16">
        <f>B33*PREÇOS!J5</f>
        <v>402.5</v>
      </c>
      <c r="E33" s="16" t="s">
        <v>37</v>
      </c>
      <c r="G33" s="211"/>
      <c r="H33" s="229"/>
    </row>
    <row r="34" spans="1:8" x14ac:dyDescent="0.2">
      <c r="A34" s="16" t="s">
        <v>117</v>
      </c>
      <c r="B34" s="227">
        <v>4</v>
      </c>
      <c r="C34" s="80" t="s">
        <v>114</v>
      </c>
      <c r="D34" s="16">
        <f>B34*PREÇOS!J8</f>
        <v>129.78</v>
      </c>
      <c r="E34" s="16" t="s">
        <v>37</v>
      </c>
      <c r="G34" s="211"/>
      <c r="H34" s="229"/>
    </row>
    <row r="35" spans="1:8" x14ac:dyDescent="0.2">
      <c r="A35" s="16" t="s">
        <v>118</v>
      </c>
      <c r="B35" s="227">
        <v>5</v>
      </c>
      <c r="C35" s="80" t="s">
        <v>114</v>
      </c>
      <c r="D35" s="16">
        <f>B35*PREÇOS!J7</f>
        <v>116.5</v>
      </c>
      <c r="E35" s="16" t="s">
        <v>37</v>
      </c>
      <c r="G35" s="211"/>
      <c r="H35" s="229"/>
    </row>
    <row r="36" spans="1:8" x14ac:dyDescent="0.2">
      <c r="A36" s="16" t="s">
        <v>119</v>
      </c>
      <c r="B36" s="227">
        <v>8</v>
      </c>
      <c r="C36" s="80" t="s">
        <v>114</v>
      </c>
      <c r="D36" s="16">
        <f>B36*PREÇOS!J9</f>
        <v>199.02222222222224</v>
      </c>
      <c r="E36" s="16" t="s">
        <v>37</v>
      </c>
      <c r="G36" s="211"/>
      <c r="H36" s="229"/>
    </row>
    <row r="37" spans="1:8" x14ac:dyDescent="0.2">
      <c r="A37" s="16" t="s">
        <v>120</v>
      </c>
      <c r="B37" s="227">
        <v>4</v>
      </c>
      <c r="C37" s="80" t="s">
        <v>114</v>
      </c>
      <c r="D37" s="16">
        <f>B37*PREÇOS!J10</f>
        <v>361.26666666666665</v>
      </c>
      <c r="E37" s="16" t="s">
        <v>37</v>
      </c>
      <c r="G37" s="211"/>
      <c r="H37" s="229"/>
    </row>
    <row r="38" spans="1:8" x14ac:dyDescent="0.2">
      <c r="A38" s="16" t="s">
        <v>121</v>
      </c>
      <c r="B38" s="227">
        <v>3</v>
      </c>
      <c r="C38" s="80" t="s">
        <v>114</v>
      </c>
      <c r="D38" s="16">
        <f>B38*PREÇOS!J15</f>
        <v>35.225000000000001</v>
      </c>
      <c r="E38" s="16" t="s">
        <v>37</v>
      </c>
      <c r="G38" s="211"/>
      <c r="H38" s="229"/>
    </row>
    <row r="39" spans="1:8" x14ac:dyDescent="0.2">
      <c r="A39" s="16" t="s">
        <v>104</v>
      </c>
      <c r="B39" s="227">
        <v>3</v>
      </c>
      <c r="C39" s="80" t="s">
        <v>114</v>
      </c>
      <c r="D39" s="16">
        <f>B39*PREÇOS!J14</f>
        <v>69.900000000000006</v>
      </c>
      <c r="E39" s="16" t="s">
        <v>37</v>
      </c>
      <c r="G39" s="211"/>
      <c r="H39" s="229"/>
    </row>
    <row r="40" spans="1:8" x14ac:dyDescent="0.2">
      <c r="A40" s="16" t="s">
        <v>122</v>
      </c>
      <c r="B40" s="227">
        <v>2</v>
      </c>
      <c r="C40" s="80" t="s">
        <v>114</v>
      </c>
      <c r="D40" s="16">
        <f>B40*PREÇOS!J16</f>
        <v>30.933333333333334</v>
      </c>
      <c r="E40" s="16" t="s">
        <v>37</v>
      </c>
      <c r="G40" s="211"/>
      <c r="H40" s="229"/>
    </row>
    <row r="41" spans="1:8" x14ac:dyDescent="0.2">
      <c r="A41" s="16" t="s">
        <v>123</v>
      </c>
      <c r="B41" s="227">
        <v>3</v>
      </c>
      <c r="C41" s="80" t="s">
        <v>114</v>
      </c>
      <c r="D41" s="16">
        <f>B41*PREÇOS!J17</f>
        <v>69.900000000000006</v>
      </c>
      <c r="E41" s="16" t="s">
        <v>37</v>
      </c>
      <c r="G41" s="16"/>
    </row>
    <row r="42" spans="1:8" x14ac:dyDescent="0.2">
      <c r="A42" s="16" t="s">
        <v>124</v>
      </c>
      <c r="B42" s="227">
        <v>10</v>
      </c>
      <c r="C42" s="80" t="s">
        <v>114</v>
      </c>
      <c r="D42" s="16">
        <f>B42*PREÇOS!J12</f>
        <v>62.69444444444445</v>
      </c>
      <c r="E42" s="16" t="s">
        <v>37</v>
      </c>
      <c r="G42" s="16"/>
    </row>
    <row r="43" spans="1:8" x14ac:dyDescent="0.2">
      <c r="A43" s="44" t="s">
        <v>493</v>
      </c>
      <c r="B43" s="222">
        <f>(D14+D19)*2*26</f>
        <v>572</v>
      </c>
      <c r="C43" s="125" t="s">
        <v>494</v>
      </c>
      <c r="D43" s="44">
        <f>B43*PREÇOS!J29</f>
        <v>200.2</v>
      </c>
      <c r="E43" s="44" t="s">
        <v>43</v>
      </c>
      <c r="G43" s="16"/>
    </row>
    <row r="44" spans="1:8" x14ac:dyDescent="0.2">
      <c r="A44" s="16"/>
      <c r="B44" s="16"/>
      <c r="C44" s="16"/>
      <c r="D44" s="16"/>
      <c r="E44" s="16"/>
      <c r="G44" s="16"/>
    </row>
    <row r="45" spans="1:8" x14ac:dyDescent="0.2">
      <c r="A45" s="33" t="s">
        <v>191</v>
      </c>
      <c r="B45" s="33"/>
      <c r="C45" s="33"/>
      <c r="D45" s="33">
        <f>SUM(D32:D44)</f>
        <v>1779.1883333333333</v>
      </c>
      <c r="E45" s="33" t="s">
        <v>131</v>
      </c>
      <c r="G45" s="16"/>
    </row>
    <row r="46" spans="1:8" x14ac:dyDescent="0.2">
      <c r="A46" s="16"/>
      <c r="B46" s="16"/>
      <c r="C46" s="16"/>
      <c r="D46" s="16"/>
      <c r="E46" s="16"/>
      <c r="G46" s="16"/>
    </row>
    <row r="47" spans="1:8" hidden="1" x14ac:dyDescent="0.2">
      <c r="A47" s="99" t="s">
        <v>303</v>
      </c>
      <c r="B47" s="94"/>
      <c r="C47" s="94"/>
      <c r="D47" s="16"/>
      <c r="E47" s="16"/>
      <c r="F47" s="16"/>
      <c r="G47" s="16"/>
    </row>
    <row r="48" spans="1:8" hidden="1" x14ac:dyDescent="0.2">
      <c r="A48" s="16"/>
      <c r="B48" s="16"/>
      <c r="C48" s="16"/>
      <c r="D48" s="16"/>
      <c r="E48" s="16"/>
      <c r="F48" s="16"/>
      <c r="G48" s="16"/>
    </row>
    <row r="49" spans="1:17" hidden="1" x14ac:dyDescent="0.2">
      <c r="A49" s="76" t="s">
        <v>301</v>
      </c>
      <c r="B49" s="76"/>
      <c r="C49" s="76"/>
      <c r="D49" s="16"/>
      <c r="E49" s="16" t="s">
        <v>35</v>
      </c>
      <c r="F49" s="16"/>
      <c r="G49" s="16"/>
    </row>
    <row r="50" spans="1:17" hidden="1" x14ac:dyDescent="0.2">
      <c r="A50" s="16" t="s">
        <v>53</v>
      </c>
      <c r="B50" s="16"/>
      <c r="C50" s="16"/>
      <c r="D50" s="16">
        <f>'BASCULANTE 6'!B61</f>
        <v>8374.508669933628</v>
      </c>
      <c r="E50" s="16" t="s">
        <v>36</v>
      </c>
      <c r="F50" s="16"/>
      <c r="G50" s="16"/>
    </row>
    <row r="51" spans="1:17" hidden="1" x14ac:dyDescent="0.2">
      <c r="A51" s="65" t="s">
        <v>54</v>
      </c>
      <c r="B51" s="65"/>
      <c r="C51" s="65"/>
      <c r="D51" s="16">
        <f>+D50*D49</f>
        <v>0</v>
      </c>
      <c r="E51" s="16" t="s">
        <v>37</v>
      </c>
      <c r="F51" s="16"/>
      <c r="G51" s="16"/>
    </row>
    <row r="52" spans="1:17" hidden="1" x14ac:dyDescent="0.2">
      <c r="A52" s="76"/>
      <c r="B52" s="76"/>
      <c r="C52" s="76"/>
      <c r="D52" s="16"/>
      <c r="E52" s="16"/>
      <c r="F52" s="16"/>
      <c r="G52" s="16"/>
    </row>
    <row r="53" spans="1:17" hidden="1" x14ac:dyDescent="0.2">
      <c r="A53" s="101" t="s">
        <v>302</v>
      </c>
      <c r="B53" s="101"/>
      <c r="C53" s="101"/>
      <c r="D53" s="33">
        <f>D51</f>
        <v>0</v>
      </c>
      <c r="E53" s="33" t="s">
        <v>131</v>
      </c>
      <c r="F53" s="16"/>
      <c r="G53" s="16"/>
    </row>
    <row r="54" spans="1:17" hidden="1" x14ac:dyDescent="0.2">
      <c r="A54" s="102"/>
      <c r="B54" s="102"/>
      <c r="C54" s="102"/>
      <c r="D54" s="74"/>
      <c r="E54" s="74"/>
      <c r="F54" s="16"/>
      <c r="G54" s="16"/>
    </row>
    <row r="55" spans="1:17" s="132" customFormat="1" x14ac:dyDescent="0.2">
      <c r="A55" s="127" t="s">
        <v>524</v>
      </c>
      <c r="B55" s="44"/>
      <c r="C55" s="44"/>
      <c r="D55" s="44"/>
      <c r="E55" s="44"/>
      <c r="F55" s="44"/>
      <c r="G55" s="44"/>
      <c r="H55" s="44"/>
      <c r="I55" s="44"/>
      <c r="O55" s="157"/>
      <c r="Q55" s="69"/>
    </row>
    <row r="56" spans="1:17" s="132" customFormat="1" x14ac:dyDescent="0.2">
      <c r="A56" s="127"/>
      <c r="B56" s="44"/>
      <c r="C56" s="44"/>
      <c r="D56" s="44"/>
      <c r="E56" s="44"/>
      <c r="F56" s="44"/>
      <c r="G56" s="44"/>
      <c r="H56" s="44"/>
      <c r="I56" s="44"/>
      <c r="O56" s="157"/>
      <c r="Q56" s="69"/>
    </row>
    <row r="57" spans="1:17" s="132" customFormat="1" x14ac:dyDescent="0.2">
      <c r="A57" s="225" t="s">
        <v>525</v>
      </c>
      <c r="B57" s="44"/>
      <c r="C57" s="44"/>
      <c r="D57" s="44"/>
      <c r="E57" s="44"/>
      <c r="F57" s="44"/>
      <c r="G57" s="44"/>
      <c r="H57" s="44"/>
      <c r="I57" s="44"/>
      <c r="O57" s="157"/>
      <c r="Q57" s="69"/>
    </row>
    <row r="58" spans="1:17" s="132" customFormat="1" x14ac:dyDescent="0.2">
      <c r="A58" s="225" t="s">
        <v>526</v>
      </c>
      <c r="B58" s="44"/>
      <c r="C58" s="44"/>
      <c r="D58" s="44">
        <f>63*1.5</f>
        <v>94.5</v>
      </c>
      <c r="E58" s="44" t="s">
        <v>496</v>
      </c>
      <c r="F58" s="44"/>
      <c r="G58" s="44"/>
      <c r="H58" s="44"/>
      <c r="I58" s="44"/>
      <c r="O58" s="157"/>
      <c r="Q58" s="69"/>
    </row>
    <row r="59" spans="1:17" s="132" customFormat="1" x14ac:dyDescent="0.2">
      <c r="A59" s="225" t="s">
        <v>527</v>
      </c>
      <c r="B59" s="44"/>
      <c r="C59" s="44"/>
      <c r="D59" s="44">
        <f>47.25*1.3</f>
        <v>61.425000000000004</v>
      </c>
      <c r="E59" s="44" t="s">
        <v>506</v>
      </c>
      <c r="F59" s="44"/>
      <c r="G59" s="44"/>
      <c r="H59" s="44"/>
      <c r="I59" s="44"/>
      <c r="O59" s="157"/>
      <c r="Q59" s="69"/>
    </row>
    <row r="60" spans="1:17" s="132" customFormat="1" x14ac:dyDescent="0.2">
      <c r="A60" s="225"/>
      <c r="B60" s="44"/>
      <c r="C60" s="44"/>
      <c r="D60" s="44"/>
      <c r="E60" s="44"/>
      <c r="F60" s="44"/>
      <c r="G60" s="44"/>
      <c r="H60" s="44"/>
      <c r="I60" s="44"/>
      <c r="O60" s="157"/>
      <c r="Q60" s="69"/>
    </row>
    <row r="61" spans="1:17" s="132" customFormat="1" x14ac:dyDescent="0.2">
      <c r="A61" s="225" t="s">
        <v>528</v>
      </c>
      <c r="B61" s="44"/>
      <c r="C61" s="44"/>
      <c r="D61" s="44"/>
      <c r="E61" s="44"/>
      <c r="F61" s="44"/>
      <c r="G61" s="44"/>
      <c r="H61" s="44"/>
      <c r="I61" s="44"/>
      <c r="O61" s="157"/>
      <c r="Q61" s="69"/>
    </row>
    <row r="62" spans="1:17" s="132" customFormat="1" x14ac:dyDescent="0.2">
      <c r="A62" s="225" t="s">
        <v>529</v>
      </c>
      <c r="B62" s="44"/>
      <c r="C62" s="44"/>
      <c r="D62" s="44">
        <v>800</v>
      </c>
      <c r="E62" s="44" t="s">
        <v>505</v>
      </c>
      <c r="F62" s="44"/>
      <c r="G62" s="44"/>
      <c r="H62" s="44"/>
      <c r="I62" s="44"/>
      <c r="O62" s="157"/>
      <c r="Q62" s="69"/>
    </row>
    <row r="63" spans="1:17" s="132" customFormat="1" x14ac:dyDescent="0.2">
      <c r="A63" s="225" t="s">
        <v>530</v>
      </c>
      <c r="B63" s="44"/>
      <c r="C63" s="44"/>
      <c r="D63" s="44">
        <v>60</v>
      </c>
      <c r="E63" s="44" t="s">
        <v>506</v>
      </c>
      <c r="F63" s="44"/>
      <c r="G63" s="44"/>
      <c r="H63" s="44"/>
      <c r="I63" s="44"/>
      <c r="O63" s="157"/>
      <c r="Q63" s="69"/>
    </row>
    <row r="64" spans="1:17" s="132" customFormat="1" x14ac:dyDescent="0.2">
      <c r="A64" s="225" t="s">
        <v>531</v>
      </c>
      <c r="B64" s="44"/>
      <c r="C64" s="44"/>
      <c r="D64" s="44">
        <v>30</v>
      </c>
      <c r="E64" s="44" t="s">
        <v>55</v>
      </c>
      <c r="F64" s="44"/>
      <c r="G64" s="44"/>
      <c r="H64" s="44"/>
      <c r="I64" s="44"/>
      <c r="O64" s="157"/>
      <c r="Q64" s="69"/>
    </row>
    <row r="65" spans="1:17" s="132" customFormat="1" x14ac:dyDescent="0.2">
      <c r="A65" s="44" t="s">
        <v>532</v>
      </c>
      <c r="B65" s="44"/>
      <c r="C65" s="44"/>
      <c r="D65" s="44">
        <f>(D62/D64)+D63</f>
        <v>86.666666666666671</v>
      </c>
      <c r="E65" s="44" t="s">
        <v>507</v>
      </c>
      <c r="F65" s="44"/>
      <c r="G65" s="44"/>
      <c r="H65" s="44"/>
      <c r="I65" s="44"/>
      <c r="O65" s="157"/>
      <c r="Q65" s="69"/>
    </row>
    <row r="66" spans="1:17" s="132" customFormat="1" x14ac:dyDescent="0.2">
      <c r="A66" s="44"/>
      <c r="B66" s="44"/>
      <c r="C66" s="44"/>
      <c r="D66" s="44"/>
      <c r="E66" s="44"/>
      <c r="F66" s="44"/>
      <c r="G66" s="44"/>
      <c r="H66" s="44"/>
      <c r="I66" s="44"/>
      <c r="O66" s="157"/>
      <c r="Q66" s="69"/>
    </row>
    <row r="67" spans="1:17" s="132" customFormat="1" x14ac:dyDescent="0.2">
      <c r="A67" s="44" t="s">
        <v>533</v>
      </c>
      <c r="B67" s="44"/>
      <c r="C67" s="44"/>
      <c r="D67" s="44"/>
      <c r="E67" s="44"/>
      <c r="F67" s="44"/>
      <c r="G67" s="44"/>
      <c r="H67" s="44"/>
      <c r="I67" s="44"/>
      <c r="O67" s="157"/>
      <c r="Q67" s="69"/>
    </row>
    <row r="68" spans="1:17" s="132" customFormat="1" x14ac:dyDescent="0.2">
      <c r="A68" s="44" t="s">
        <v>534</v>
      </c>
      <c r="B68" s="44"/>
      <c r="C68" s="44"/>
      <c r="D68" s="44">
        <f>D30</f>
        <v>0</v>
      </c>
      <c r="E68" s="44" t="s">
        <v>514</v>
      </c>
      <c r="F68" s="44"/>
      <c r="G68" s="44"/>
      <c r="H68" s="44"/>
      <c r="I68" s="44"/>
      <c r="O68" s="157"/>
      <c r="Q68" s="69"/>
    </row>
    <row r="69" spans="1:17" s="132" customFormat="1" x14ac:dyDescent="0.2">
      <c r="A69" s="44" t="s">
        <v>535</v>
      </c>
      <c r="B69" s="44"/>
      <c r="C69" s="44"/>
      <c r="D69" s="44">
        <v>0</v>
      </c>
      <c r="E69" s="44" t="s">
        <v>514</v>
      </c>
      <c r="F69" s="44"/>
      <c r="G69" s="44"/>
      <c r="H69" s="44"/>
      <c r="I69" s="44"/>
      <c r="O69" s="157"/>
      <c r="Q69" s="69"/>
    </row>
    <row r="70" spans="1:17" s="132" customFormat="1" x14ac:dyDescent="0.2">
      <c r="A70" s="44" t="s">
        <v>536</v>
      </c>
      <c r="B70" s="44"/>
      <c r="C70" s="44"/>
      <c r="D70" s="44">
        <f>D58*D68</f>
        <v>0</v>
      </c>
      <c r="E70" s="44" t="s">
        <v>515</v>
      </c>
      <c r="F70" s="44"/>
      <c r="G70" s="44"/>
      <c r="H70" s="44"/>
      <c r="I70" s="44"/>
      <c r="O70" s="157"/>
      <c r="Q70" s="69"/>
    </row>
    <row r="71" spans="1:17" s="132" customFormat="1" x14ac:dyDescent="0.2">
      <c r="A71" s="44" t="s">
        <v>537</v>
      </c>
      <c r="B71" s="44"/>
      <c r="C71" s="44"/>
      <c r="D71" s="44">
        <f>D69*D59</f>
        <v>0</v>
      </c>
      <c r="E71" s="44" t="s">
        <v>506</v>
      </c>
      <c r="F71" s="44"/>
      <c r="G71" s="44"/>
      <c r="H71" s="44"/>
      <c r="I71" s="44"/>
      <c r="O71" s="157"/>
      <c r="Q71" s="69"/>
    </row>
    <row r="72" spans="1:17" s="132" customFormat="1" x14ac:dyDescent="0.2">
      <c r="A72" s="44" t="s">
        <v>538</v>
      </c>
      <c r="B72" s="44"/>
      <c r="C72" s="44"/>
      <c r="D72" s="44"/>
      <c r="E72" s="44" t="s">
        <v>514</v>
      </c>
      <c r="F72" s="44"/>
      <c r="G72" s="44"/>
      <c r="H72" s="44"/>
      <c r="I72" s="44"/>
      <c r="O72" s="157"/>
      <c r="Q72" s="69"/>
    </row>
    <row r="73" spans="1:17" s="132" customFormat="1" x14ac:dyDescent="0.2">
      <c r="A73" s="44" t="s">
        <v>539</v>
      </c>
      <c r="B73" s="44"/>
      <c r="C73" s="44"/>
      <c r="D73" s="44">
        <f>D65*D72</f>
        <v>0</v>
      </c>
      <c r="E73" s="44" t="s">
        <v>518</v>
      </c>
      <c r="F73" s="44"/>
      <c r="G73" s="44"/>
      <c r="H73" s="44"/>
      <c r="I73" s="44"/>
      <c r="O73" s="157"/>
      <c r="Q73" s="69"/>
    </row>
    <row r="74" spans="1:17" x14ac:dyDescent="0.2">
      <c r="A74" s="16"/>
      <c r="B74" s="16"/>
      <c r="C74" s="16"/>
      <c r="D74" s="16"/>
      <c r="E74" s="16"/>
      <c r="F74" s="16"/>
      <c r="G74" s="16"/>
    </row>
    <row r="75" spans="1:17" s="132" customFormat="1" x14ac:dyDescent="0.2">
      <c r="A75" s="122" t="s">
        <v>513</v>
      </c>
      <c r="B75" s="122"/>
      <c r="C75" s="122"/>
      <c r="D75" s="122">
        <f>D70+D71+D73</f>
        <v>0</v>
      </c>
      <c r="E75" s="122" t="s">
        <v>131</v>
      </c>
      <c r="F75" s="44"/>
      <c r="G75" s="44"/>
      <c r="H75" s="44"/>
      <c r="I75" s="44"/>
      <c r="O75" s="157"/>
      <c r="Q75" s="69"/>
    </row>
    <row r="76" spans="1:17" x14ac:dyDescent="0.2">
      <c r="A76" s="102"/>
      <c r="B76" s="102"/>
      <c r="C76" s="102"/>
      <c r="D76" s="74"/>
      <c r="E76" s="74"/>
      <c r="F76" s="16"/>
      <c r="G76" s="16"/>
    </row>
    <row r="77" spans="1:17" x14ac:dyDescent="0.2">
      <c r="A77" s="86" t="s">
        <v>66</v>
      </c>
      <c r="B77" s="84"/>
      <c r="C77" s="84"/>
      <c r="D77" s="16"/>
      <c r="E77" s="16"/>
      <c r="G77" s="16"/>
    </row>
    <row r="78" spans="1:17" x14ac:dyDescent="0.2">
      <c r="A78" s="84"/>
      <c r="B78" s="84"/>
      <c r="C78" s="84"/>
      <c r="D78" s="16"/>
      <c r="E78" s="16"/>
      <c r="G78" s="16"/>
    </row>
    <row r="79" spans="1:17" x14ac:dyDescent="0.2">
      <c r="A79" s="16" t="s">
        <v>68</v>
      </c>
      <c r="B79" s="16"/>
      <c r="C79" s="16"/>
      <c r="D79" s="16">
        <f>D28</f>
        <v>36605.369439093993</v>
      </c>
      <c r="E79" s="16" t="s">
        <v>37</v>
      </c>
      <c r="F79" s="16"/>
      <c r="G79" s="63"/>
    </row>
    <row r="80" spans="1:17" x14ac:dyDescent="0.2">
      <c r="A80" s="16" t="s">
        <v>67</v>
      </c>
      <c r="B80" s="16"/>
      <c r="C80" s="16"/>
      <c r="D80" s="16">
        <f>D45</f>
        <v>1779.1883333333333</v>
      </c>
      <c r="E80" s="16" t="s">
        <v>37</v>
      </c>
      <c r="F80" s="16"/>
      <c r="G80" s="63"/>
    </row>
    <row r="81" spans="1:17" x14ac:dyDescent="0.2">
      <c r="A81" s="16" t="s">
        <v>58</v>
      </c>
      <c r="B81" s="16"/>
      <c r="C81" s="16"/>
      <c r="D81" s="16">
        <f>D53</f>
        <v>0</v>
      </c>
      <c r="E81" s="16" t="s">
        <v>37</v>
      </c>
      <c r="F81" s="16"/>
      <c r="G81" s="63"/>
    </row>
    <row r="82" spans="1:17" x14ac:dyDescent="0.2">
      <c r="A82" s="44" t="s">
        <v>519</v>
      </c>
      <c r="B82" s="16"/>
      <c r="C82" s="16"/>
      <c r="D82" s="98">
        <f>D75</f>
        <v>0</v>
      </c>
      <c r="E82" s="16" t="s">
        <v>37</v>
      </c>
      <c r="F82" s="16"/>
      <c r="G82" s="63"/>
    </row>
    <row r="83" spans="1:17" x14ac:dyDescent="0.2">
      <c r="A83" s="16"/>
      <c r="B83" s="16"/>
      <c r="C83" s="16"/>
      <c r="D83" s="16"/>
      <c r="E83" s="16"/>
      <c r="F83" s="16"/>
    </row>
    <row r="84" spans="1:17" x14ac:dyDescent="0.2">
      <c r="A84" s="33" t="s">
        <v>193</v>
      </c>
      <c r="B84" s="33"/>
      <c r="C84" s="33"/>
      <c r="D84" s="33">
        <f>SUM(D79:D82)</f>
        <v>38384.557772427324</v>
      </c>
      <c r="E84" s="33" t="s">
        <v>131</v>
      </c>
      <c r="F84" s="16"/>
    </row>
    <row r="85" spans="1:17" x14ac:dyDescent="0.2">
      <c r="A85" s="16"/>
      <c r="B85" s="16"/>
      <c r="C85" s="16"/>
      <c r="D85" s="16" t="s">
        <v>8</v>
      </c>
      <c r="E85" s="16"/>
      <c r="F85" s="16"/>
    </row>
    <row r="86" spans="1:17" s="103" customFormat="1" x14ac:dyDescent="0.2">
      <c r="A86" s="122" t="s">
        <v>391</v>
      </c>
      <c r="B86" s="176">
        <f>BDI!C12/100</f>
        <v>0.29712344612244879</v>
      </c>
      <c r="C86" s="122"/>
      <c r="D86" s="165">
        <f>D88-D84</f>
        <v>11404.952083229829</v>
      </c>
      <c r="E86" s="122" t="s">
        <v>131</v>
      </c>
      <c r="F86" s="165"/>
      <c r="G86" s="122"/>
      <c r="H86" s="46"/>
      <c r="I86" s="69"/>
      <c r="O86" s="174"/>
      <c r="Q86" s="146"/>
    </row>
    <row r="87" spans="1:17" x14ac:dyDescent="0.2">
      <c r="A87" s="16"/>
      <c r="B87" s="16"/>
      <c r="C87" s="16"/>
      <c r="D87" s="16"/>
      <c r="E87" s="16"/>
      <c r="F87" s="153"/>
      <c r="G87" s="154"/>
      <c r="H87" s="16"/>
    </row>
    <row r="88" spans="1:17" x14ac:dyDescent="0.2">
      <c r="A88" s="87" t="s">
        <v>392</v>
      </c>
      <c r="B88" s="90"/>
      <c r="C88" s="90"/>
      <c r="D88" s="33">
        <f>D84*BDI!C20</f>
        <v>49789.509855657154</v>
      </c>
      <c r="E88" s="33" t="s">
        <v>37</v>
      </c>
      <c r="F88" s="152"/>
      <c r="G88" s="151"/>
      <c r="H88" s="16"/>
      <c r="I88" s="89"/>
    </row>
    <row r="89" spans="1:17" x14ac:dyDescent="0.2">
      <c r="A89" s="88" t="s">
        <v>393</v>
      </c>
      <c r="B89" s="33"/>
      <c r="C89" s="33"/>
      <c r="D89" s="33">
        <v>20</v>
      </c>
      <c r="E89" s="33" t="s">
        <v>215</v>
      </c>
      <c r="F89" s="16"/>
    </row>
    <row r="90" spans="1:17" x14ac:dyDescent="0.2">
      <c r="A90" s="88" t="s">
        <v>394</v>
      </c>
      <c r="B90" s="33"/>
      <c r="C90" s="33"/>
      <c r="D90" s="33">
        <f>ROUND(D88/D89,2)</f>
        <v>2489.48</v>
      </c>
      <c r="E90" s="33" t="s">
        <v>86</v>
      </c>
      <c r="F90" s="11"/>
    </row>
    <row r="95" spans="1:17" x14ac:dyDescent="0.2">
      <c r="D95" s="16"/>
    </row>
    <row r="98" spans="4:4" x14ac:dyDescent="0.2">
      <c r="D98" s="96"/>
    </row>
  </sheetData>
  <mergeCells count="4">
    <mergeCell ref="A4:B4"/>
    <mergeCell ref="A1:E1"/>
    <mergeCell ref="A2:E2"/>
    <mergeCell ref="A8:E8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rowBreaks count="1" manualBreakCount="1">
    <brk id="76" max="4" man="1"/>
  </rowBreak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77"/>
  <sheetViews>
    <sheetView view="pageBreakPreview" topLeftCell="A7" zoomScaleSheetLayoutView="100" workbookViewId="0">
      <selection activeCell="D69" sqref="D69"/>
    </sheetView>
  </sheetViews>
  <sheetFormatPr defaultColWidth="9.33203125" defaultRowHeight="12.75" x14ac:dyDescent="0.2"/>
  <cols>
    <col min="1" max="1" width="50.83203125" style="13" customWidth="1"/>
    <col min="2" max="2" width="10.83203125" style="13" customWidth="1"/>
    <col min="3" max="3" width="7.5" style="13" customWidth="1"/>
    <col min="4" max="4" width="14.83203125" style="13" customWidth="1"/>
    <col min="5" max="5" width="12.6640625" style="13" customWidth="1"/>
    <col min="6" max="6" width="11.33203125" style="13" customWidth="1"/>
    <col min="7" max="7" width="11.83203125" style="11" bestFit="1" customWidth="1"/>
    <col min="8" max="8" width="13.6640625" style="11" bestFit="1" customWidth="1"/>
    <col min="9" max="10" width="9.33203125" style="11"/>
    <col min="11" max="11" width="12.6640625" style="11" customWidth="1"/>
    <col min="12" max="16384" width="9.33203125" style="11"/>
  </cols>
  <sheetData>
    <row r="1" spans="1:6" ht="18.75" hidden="1" x14ac:dyDescent="0.3">
      <c r="A1" s="338" t="s">
        <v>226</v>
      </c>
      <c r="B1" s="338"/>
      <c r="C1" s="338"/>
      <c r="D1" s="338"/>
      <c r="E1" s="338"/>
      <c r="F1" s="10"/>
    </row>
    <row r="2" spans="1:6" ht="18" hidden="1" customHeight="1" x14ac:dyDescent="0.25">
      <c r="A2" s="338"/>
      <c r="B2" s="338"/>
      <c r="C2" s="338"/>
      <c r="D2" s="338"/>
      <c r="E2" s="338"/>
      <c r="F2" s="12"/>
    </row>
    <row r="3" spans="1:6" hidden="1" x14ac:dyDescent="0.2"/>
    <row r="4" spans="1:6" hidden="1" x14ac:dyDescent="0.2">
      <c r="A4" s="357"/>
      <c r="B4" s="357"/>
    </row>
    <row r="5" spans="1:6" hidden="1" x14ac:dyDescent="0.2"/>
    <row r="6" spans="1:6" hidden="1" x14ac:dyDescent="0.2">
      <c r="A6" s="14" t="s">
        <v>228</v>
      </c>
      <c r="D6" s="14" t="s">
        <v>222</v>
      </c>
    </row>
    <row r="8" spans="1:6" x14ac:dyDescent="0.2">
      <c r="A8" s="339" t="s">
        <v>0</v>
      </c>
      <c r="B8" s="339"/>
      <c r="C8" s="339"/>
      <c r="D8" s="339"/>
      <c r="E8" s="339"/>
      <c r="F8" s="72"/>
    </row>
    <row r="9" spans="1:6" x14ac:dyDescent="0.2">
      <c r="A9" s="16"/>
      <c r="B9" s="16"/>
      <c r="C9" s="16"/>
      <c r="D9" s="16"/>
      <c r="E9" s="16"/>
      <c r="F9" s="16"/>
    </row>
    <row r="10" spans="1:6" x14ac:dyDescent="0.2">
      <c r="A10" s="73" t="s">
        <v>666</v>
      </c>
      <c r="B10" s="73"/>
      <c r="C10" s="73"/>
      <c r="D10" s="18"/>
      <c r="E10" s="74"/>
      <c r="F10" s="18"/>
    </row>
    <row r="11" spans="1:6" x14ac:dyDescent="0.2">
      <c r="A11" s="16"/>
      <c r="B11" s="16"/>
      <c r="C11" s="16"/>
      <c r="D11" s="16"/>
      <c r="E11" s="16"/>
      <c r="F11" s="16"/>
    </row>
    <row r="12" spans="1:6" x14ac:dyDescent="0.2">
      <c r="A12" s="86" t="s">
        <v>34</v>
      </c>
      <c r="B12" s="84"/>
      <c r="C12" s="84"/>
      <c r="D12" s="16"/>
      <c r="E12" s="16"/>
      <c r="F12" s="16"/>
    </row>
    <row r="13" spans="1:6" x14ac:dyDescent="0.2">
      <c r="A13" s="16"/>
      <c r="B13" s="16"/>
      <c r="C13" s="16"/>
      <c r="D13" s="16"/>
      <c r="E13" s="16"/>
      <c r="F13" s="16"/>
    </row>
    <row r="14" spans="1:6" x14ac:dyDescent="0.2">
      <c r="A14" s="76" t="s">
        <v>170</v>
      </c>
      <c r="B14" s="76"/>
      <c r="C14" s="76"/>
      <c r="D14" s="16">
        <v>2</v>
      </c>
      <c r="E14" s="16" t="s">
        <v>35</v>
      </c>
      <c r="F14" s="16"/>
    </row>
    <row r="15" spans="1:6" x14ac:dyDescent="0.2">
      <c r="A15" s="76" t="s">
        <v>339</v>
      </c>
      <c r="B15" s="65"/>
      <c r="C15" s="65"/>
      <c r="D15" s="16">
        <f>VARREDOR!B34</f>
        <v>3070.8678666666665</v>
      </c>
      <c r="E15" s="65" t="s">
        <v>36</v>
      </c>
      <c r="F15" s="16"/>
    </row>
    <row r="16" spans="1:6" x14ac:dyDescent="0.2">
      <c r="A16" s="65" t="s">
        <v>486</v>
      </c>
      <c r="B16" s="65"/>
      <c r="C16" s="65"/>
      <c r="D16" s="16"/>
      <c r="E16" s="16" t="s">
        <v>37</v>
      </c>
      <c r="F16" s="16"/>
    </row>
    <row r="17" spans="1:10" x14ac:dyDescent="0.2">
      <c r="A17" s="76" t="s">
        <v>445</v>
      </c>
      <c r="B17" s="76"/>
      <c r="C17" s="76"/>
      <c r="D17" s="16">
        <f>(D15*D14)+D16</f>
        <v>6141.735733333333</v>
      </c>
      <c r="E17" s="16" t="s">
        <v>37</v>
      </c>
      <c r="F17" s="16"/>
    </row>
    <row r="18" spans="1:10" x14ac:dyDescent="0.2">
      <c r="A18" s="76"/>
      <c r="B18" s="76"/>
      <c r="C18" s="76"/>
      <c r="D18" s="16"/>
      <c r="E18" s="16"/>
      <c r="F18" s="16"/>
    </row>
    <row r="19" spans="1:10" x14ac:dyDescent="0.2">
      <c r="A19" s="65" t="s">
        <v>38</v>
      </c>
      <c r="B19" s="65"/>
      <c r="C19" s="65"/>
      <c r="D19" s="16"/>
      <c r="E19" s="16" t="s">
        <v>35</v>
      </c>
      <c r="F19" s="16"/>
    </row>
    <row r="20" spans="1:10" x14ac:dyDescent="0.2">
      <c r="A20" s="16" t="s">
        <v>321</v>
      </c>
      <c r="B20" s="16"/>
      <c r="C20" s="16"/>
      <c r="D20" s="16"/>
      <c r="E20" s="16" t="s">
        <v>36</v>
      </c>
      <c r="F20" s="16"/>
    </row>
    <row r="21" spans="1:10" x14ac:dyDescent="0.2">
      <c r="A21" s="16" t="s">
        <v>320</v>
      </c>
      <c r="B21" s="16"/>
      <c r="C21" s="16"/>
      <c r="D21" s="16">
        <f>+D20*D19</f>
        <v>0</v>
      </c>
      <c r="E21" s="16" t="s">
        <v>37</v>
      </c>
      <c r="F21" s="16"/>
    </row>
    <row r="22" spans="1:10" x14ac:dyDescent="0.2">
      <c r="A22" s="16"/>
      <c r="B22" s="16"/>
      <c r="C22" s="16"/>
      <c r="D22" s="16"/>
      <c r="E22" s="16"/>
      <c r="F22" s="16"/>
    </row>
    <row r="23" spans="1:10" hidden="1" x14ac:dyDescent="0.2">
      <c r="A23" s="65" t="s">
        <v>49</v>
      </c>
      <c r="B23" s="65"/>
      <c r="C23" s="65"/>
      <c r="D23" s="16"/>
      <c r="E23" s="16" t="s">
        <v>35</v>
      </c>
      <c r="F23" s="16"/>
      <c r="G23" s="16"/>
      <c r="J23" s="11">
        <v>3</v>
      </c>
    </row>
    <row r="24" spans="1:10" hidden="1" x14ac:dyDescent="0.2">
      <c r="A24" s="65" t="s">
        <v>50</v>
      </c>
      <c r="B24" s="65"/>
      <c r="C24" s="65"/>
      <c r="D24" s="16">
        <f>MOTORISTA!B32</f>
        <v>5407.0828585454556</v>
      </c>
      <c r="E24" s="16" t="s">
        <v>36</v>
      </c>
      <c r="F24" s="16"/>
      <c r="G24" s="16"/>
      <c r="J24" s="11">
        <f>J21*J23</f>
        <v>0</v>
      </c>
    </row>
    <row r="25" spans="1:10" hidden="1" x14ac:dyDescent="0.2">
      <c r="A25" s="76" t="s">
        <v>52</v>
      </c>
      <c r="B25" s="76"/>
      <c r="C25" s="76"/>
      <c r="D25" s="16">
        <f>D23*D24</f>
        <v>0</v>
      </c>
      <c r="E25" s="16" t="s">
        <v>43</v>
      </c>
      <c r="F25" s="16"/>
      <c r="G25" s="16"/>
    </row>
    <row r="26" spans="1:10" hidden="1" x14ac:dyDescent="0.2">
      <c r="A26" s="76"/>
      <c r="B26" s="76"/>
      <c r="C26" s="76"/>
      <c r="D26" s="16"/>
      <c r="E26" s="16"/>
      <c r="F26" s="16"/>
      <c r="G26" s="16"/>
    </row>
    <row r="27" spans="1:10" x14ac:dyDescent="0.2">
      <c r="A27" s="33" t="s">
        <v>199</v>
      </c>
      <c r="B27" s="33"/>
      <c r="C27" s="33"/>
      <c r="D27" s="33">
        <f>D17+D21+D25</f>
        <v>6141.735733333333</v>
      </c>
      <c r="E27" s="33" t="s">
        <v>131</v>
      </c>
      <c r="F27" s="16"/>
    </row>
    <row r="28" spans="1:10" x14ac:dyDescent="0.2">
      <c r="A28" s="16"/>
      <c r="B28" s="16"/>
      <c r="C28" s="16"/>
      <c r="D28" s="16"/>
      <c r="E28" s="16"/>
      <c r="F28" s="16"/>
    </row>
    <row r="29" spans="1:10" x14ac:dyDescent="0.2">
      <c r="A29" s="99" t="s">
        <v>89</v>
      </c>
      <c r="B29" s="94"/>
      <c r="C29" s="94"/>
      <c r="D29" s="82"/>
      <c r="E29" s="16"/>
      <c r="F29" s="16"/>
    </row>
    <row r="30" spans="1:10" x14ac:dyDescent="0.2">
      <c r="A30" s="81"/>
      <c r="B30" s="81"/>
      <c r="C30" s="81"/>
      <c r="D30" s="82"/>
      <c r="E30" s="16"/>
      <c r="G30" s="16"/>
      <c r="H30" s="100"/>
    </row>
    <row r="31" spans="1:10" x14ac:dyDescent="0.2">
      <c r="A31" s="23" t="s">
        <v>113</v>
      </c>
      <c r="B31" s="226"/>
      <c r="C31" s="80" t="s">
        <v>114</v>
      </c>
      <c r="D31" s="16">
        <f>B31*PREÇOS!J6</f>
        <v>0</v>
      </c>
      <c r="E31" s="16" t="s">
        <v>37</v>
      </c>
      <c r="G31" s="16"/>
    </row>
    <row r="32" spans="1:10" x14ac:dyDescent="0.2">
      <c r="A32" s="16" t="s">
        <v>116</v>
      </c>
      <c r="B32" s="226"/>
      <c r="C32" s="80" t="s">
        <v>114</v>
      </c>
      <c r="D32" s="16">
        <f>B32*PREÇOS!J5</f>
        <v>0</v>
      </c>
      <c r="E32" s="16" t="s">
        <v>37</v>
      </c>
      <c r="G32" s="16"/>
    </row>
    <row r="33" spans="1:7" x14ac:dyDescent="0.2">
      <c r="A33" s="16" t="s">
        <v>117</v>
      </c>
      <c r="B33" s="227"/>
      <c r="C33" s="80" t="s">
        <v>114</v>
      </c>
      <c r="D33" s="16">
        <f>B33*PREÇOS!J8</f>
        <v>0</v>
      </c>
      <c r="E33" s="16" t="s">
        <v>37</v>
      </c>
      <c r="G33" s="16"/>
    </row>
    <row r="34" spans="1:7" x14ac:dyDescent="0.2">
      <c r="A34" s="16" t="s">
        <v>118</v>
      </c>
      <c r="B34" s="227"/>
      <c r="C34" s="80" t="s">
        <v>114</v>
      </c>
      <c r="D34" s="16">
        <f>B34*PREÇOS!J7</f>
        <v>0</v>
      </c>
      <c r="E34" s="16" t="s">
        <v>37</v>
      </c>
      <c r="G34" s="16"/>
    </row>
    <row r="35" spans="1:7" x14ac:dyDescent="0.2">
      <c r="A35" s="16" t="s">
        <v>119</v>
      </c>
      <c r="B35" s="227"/>
      <c r="C35" s="80" t="s">
        <v>114</v>
      </c>
      <c r="D35" s="16">
        <f>B35*PREÇOS!J9</f>
        <v>0</v>
      </c>
      <c r="E35" s="16" t="s">
        <v>37</v>
      </c>
      <c r="G35" s="16"/>
    </row>
    <row r="36" spans="1:7" x14ac:dyDescent="0.2">
      <c r="A36" s="16" t="s">
        <v>120</v>
      </c>
      <c r="B36" s="227"/>
      <c r="C36" s="80" t="s">
        <v>114</v>
      </c>
      <c r="D36" s="16">
        <f>B36*PREÇOS!J10</f>
        <v>0</v>
      </c>
      <c r="E36" s="16" t="s">
        <v>37</v>
      </c>
      <c r="G36" s="16"/>
    </row>
    <row r="37" spans="1:7" x14ac:dyDescent="0.2">
      <c r="A37" s="16" t="s">
        <v>121</v>
      </c>
      <c r="B37" s="227"/>
      <c r="C37" s="80" t="s">
        <v>114</v>
      </c>
      <c r="D37" s="16">
        <f>B37*PREÇOS!J15</f>
        <v>0</v>
      </c>
      <c r="E37" s="16" t="s">
        <v>37</v>
      </c>
      <c r="G37" s="16"/>
    </row>
    <row r="38" spans="1:7" x14ac:dyDescent="0.2">
      <c r="A38" s="16" t="s">
        <v>104</v>
      </c>
      <c r="B38" s="227"/>
      <c r="C38" s="80" t="s">
        <v>114</v>
      </c>
      <c r="D38" s="16">
        <f>B38*PREÇOS!J14</f>
        <v>0</v>
      </c>
      <c r="E38" s="16" t="s">
        <v>37</v>
      </c>
      <c r="G38" s="16"/>
    </row>
    <row r="39" spans="1:7" x14ac:dyDescent="0.2">
      <c r="A39" s="16" t="s">
        <v>122</v>
      </c>
      <c r="B39" s="227"/>
      <c r="C39" s="80" t="s">
        <v>114</v>
      </c>
      <c r="D39" s="16">
        <f>B39*PREÇOS!J16</f>
        <v>0</v>
      </c>
      <c r="E39" s="16" t="s">
        <v>37</v>
      </c>
      <c r="G39" s="16"/>
    </row>
    <row r="40" spans="1:7" x14ac:dyDescent="0.2">
      <c r="A40" s="16" t="s">
        <v>123</v>
      </c>
      <c r="B40" s="227"/>
      <c r="C40" s="80" t="s">
        <v>114</v>
      </c>
      <c r="D40" s="16">
        <f>B40*PREÇOS!J17</f>
        <v>0</v>
      </c>
      <c r="E40" s="16" t="s">
        <v>37</v>
      </c>
      <c r="G40" s="16"/>
    </row>
    <row r="41" spans="1:7" x14ac:dyDescent="0.2">
      <c r="A41" s="16" t="s">
        <v>124</v>
      </c>
      <c r="B41" s="227">
        <v>3</v>
      </c>
      <c r="C41" s="80" t="s">
        <v>114</v>
      </c>
      <c r="D41" s="16">
        <f>B41*PREÇOS!J12</f>
        <v>18.808333333333334</v>
      </c>
      <c r="E41" s="16" t="s">
        <v>37</v>
      </c>
      <c r="G41" s="16"/>
    </row>
    <row r="42" spans="1:7" x14ac:dyDescent="0.2">
      <c r="A42" s="16" t="s">
        <v>103</v>
      </c>
      <c r="B42" s="227">
        <v>3</v>
      </c>
      <c r="C42" s="80" t="s">
        <v>114</v>
      </c>
      <c r="D42" s="16">
        <f>B42*PREÇOS!J13</f>
        <v>43.94</v>
      </c>
      <c r="E42" s="16" t="s">
        <v>37</v>
      </c>
      <c r="G42" s="16"/>
    </row>
    <row r="43" spans="1:7" x14ac:dyDescent="0.2">
      <c r="A43" s="16" t="s">
        <v>125</v>
      </c>
      <c r="B43" s="227">
        <v>1500</v>
      </c>
      <c r="C43" s="92" t="s">
        <v>115</v>
      </c>
      <c r="D43" s="16">
        <f>B43*PREÇOS!G20</f>
        <v>11085</v>
      </c>
      <c r="E43" s="16" t="s">
        <v>37</v>
      </c>
      <c r="G43" s="16"/>
    </row>
    <row r="44" spans="1:7" x14ac:dyDescent="0.2">
      <c r="A44" s="44" t="s">
        <v>493</v>
      </c>
      <c r="B44" s="222">
        <f>(D14+D19)*2*26</f>
        <v>104</v>
      </c>
      <c r="C44" s="125" t="s">
        <v>494</v>
      </c>
      <c r="D44" s="44">
        <f>B44*PREÇOS!J29</f>
        <v>36.4</v>
      </c>
      <c r="E44" s="44" t="s">
        <v>43</v>
      </c>
      <c r="G44" s="16"/>
    </row>
    <row r="45" spans="1:7" x14ac:dyDescent="0.2">
      <c r="A45" s="16"/>
      <c r="B45" s="16"/>
      <c r="C45" s="16"/>
      <c r="D45" s="16"/>
      <c r="E45" s="16"/>
      <c r="G45" s="16"/>
    </row>
    <row r="46" spans="1:7" x14ac:dyDescent="0.2">
      <c r="A46" s="33" t="s">
        <v>191</v>
      </c>
      <c r="B46" s="33"/>
      <c r="C46" s="33"/>
      <c r="D46" s="33">
        <f>SUM(D31:D44)</f>
        <v>11184.148333333333</v>
      </c>
      <c r="E46" s="33" t="s">
        <v>131</v>
      </c>
      <c r="G46" s="16"/>
    </row>
    <row r="47" spans="1:7" x14ac:dyDescent="0.2">
      <c r="A47" s="16"/>
      <c r="B47" s="16"/>
      <c r="C47" s="16"/>
      <c r="D47" s="16"/>
      <c r="E47" s="16"/>
      <c r="G47" s="16"/>
    </row>
    <row r="48" spans="1:7" hidden="1" x14ac:dyDescent="0.2">
      <c r="A48" s="99" t="s">
        <v>303</v>
      </c>
      <c r="B48" s="94"/>
      <c r="C48" s="94"/>
      <c r="D48" s="16"/>
      <c r="E48" s="16"/>
      <c r="F48" s="16"/>
      <c r="G48" s="16"/>
    </row>
    <row r="49" spans="1:8" hidden="1" x14ac:dyDescent="0.2">
      <c r="A49" s="16"/>
      <c r="B49" s="16"/>
      <c r="C49" s="16"/>
      <c r="D49" s="16"/>
      <c r="E49" s="16"/>
      <c r="F49" s="16"/>
      <c r="G49" s="16"/>
    </row>
    <row r="50" spans="1:8" hidden="1" x14ac:dyDescent="0.2">
      <c r="A50" s="76" t="s">
        <v>301</v>
      </c>
      <c r="B50" s="76"/>
      <c r="C50" s="76"/>
      <c r="D50" s="16"/>
      <c r="E50" s="16" t="s">
        <v>35</v>
      </c>
      <c r="F50" s="16"/>
      <c r="G50" s="16"/>
    </row>
    <row r="51" spans="1:8" hidden="1" x14ac:dyDescent="0.2">
      <c r="A51" s="16" t="s">
        <v>53</v>
      </c>
      <c r="B51" s="16"/>
      <c r="C51" s="16"/>
      <c r="D51" s="16">
        <f>'BASCULANTE 6'!B61</f>
        <v>8374.508669933628</v>
      </c>
      <c r="E51" s="16" t="s">
        <v>36</v>
      </c>
      <c r="F51" s="16"/>
      <c r="G51" s="16"/>
    </row>
    <row r="52" spans="1:8" hidden="1" x14ac:dyDescent="0.2">
      <c r="A52" s="65" t="s">
        <v>54</v>
      </c>
      <c r="B52" s="65"/>
      <c r="C52" s="65"/>
      <c r="D52" s="16">
        <f>+D51*D50</f>
        <v>0</v>
      </c>
      <c r="E52" s="16" t="s">
        <v>37</v>
      </c>
      <c r="F52" s="16"/>
      <c r="G52" s="16"/>
    </row>
    <row r="53" spans="1:8" hidden="1" x14ac:dyDescent="0.2">
      <c r="A53" s="76"/>
      <c r="B53" s="76"/>
      <c r="C53" s="76"/>
      <c r="D53" s="16"/>
      <c r="E53" s="16"/>
      <c r="F53" s="16"/>
      <c r="G53" s="16"/>
    </row>
    <row r="54" spans="1:8" hidden="1" x14ac:dyDescent="0.2">
      <c r="A54" s="101" t="s">
        <v>302</v>
      </c>
      <c r="B54" s="101"/>
      <c r="C54" s="101"/>
      <c r="D54" s="33">
        <f>D52</f>
        <v>0</v>
      </c>
      <c r="E54" s="33" t="s">
        <v>131</v>
      </c>
      <c r="F54" s="16"/>
      <c r="G54" s="16"/>
    </row>
    <row r="55" spans="1:8" hidden="1" x14ac:dyDescent="0.2">
      <c r="A55" s="102"/>
      <c r="B55" s="102"/>
      <c r="C55" s="102"/>
      <c r="D55" s="74"/>
      <c r="E55" s="74"/>
      <c r="F55" s="16"/>
      <c r="G55" s="16"/>
    </row>
    <row r="56" spans="1:8" x14ac:dyDescent="0.2">
      <c r="A56" s="86" t="s">
        <v>44</v>
      </c>
      <c r="B56" s="84"/>
      <c r="C56" s="84"/>
      <c r="D56" s="16"/>
      <c r="E56" s="16"/>
      <c r="G56" s="16"/>
    </row>
    <row r="57" spans="1:8" x14ac:dyDescent="0.2">
      <c r="A57" s="84"/>
      <c r="B57" s="84"/>
      <c r="C57" s="84"/>
      <c r="D57" s="16"/>
      <c r="E57" s="16"/>
      <c r="G57" s="16"/>
    </row>
    <row r="58" spans="1:8" x14ac:dyDescent="0.2">
      <c r="A58" s="16" t="s">
        <v>68</v>
      </c>
      <c r="B58" s="16"/>
      <c r="C58" s="16"/>
      <c r="D58" s="16">
        <f>D27</f>
        <v>6141.735733333333</v>
      </c>
      <c r="E58" s="16" t="s">
        <v>37</v>
      </c>
      <c r="F58" s="16"/>
      <c r="G58" s="63"/>
    </row>
    <row r="59" spans="1:8" x14ac:dyDescent="0.2">
      <c r="A59" s="16" t="s">
        <v>67</v>
      </c>
      <c r="B59" s="16"/>
      <c r="C59" s="16"/>
      <c r="D59" s="16">
        <f>D46</f>
        <v>11184.148333333333</v>
      </c>
      <c r="E59" s="16" t="s">
        <v>37</v>
      </c>
      <c r="F59" s="16"/>
      <c r="G59" s="63"/>
    </row>
    <row r="60" spans="1:8" x14ac:dyDescent="0.2">
      <c r="A60" s="16" t="s">
        <v>58</v>
      </c>
      <c r="B60" s="16"/>
      <c r="C60" s="16"/>
      <c r="D60" s="16">
        <f>D54</f>
        <v>0</v>
      </c>
      <c r="E60" s="16" t="s">
        <v>37</v>
      </c>
      <c r="F60" s="16"/>
      <c r="G60" s="63"/>
      <c r="H60" s="63"/>
    </row>
    <row r="61" spans="1:8" hidden="1" x14ac:dyDescent="0.2">
      <c r="A61" s="16" t="s">
        <v>440</v>
      </c>
      <c r="B61" s="204">
        <v>0</v>
      </c>
      <c r="C61" s="16"/>
      <c r="D61" s="16">
        <f>'Adm1'!C166*B61</f>
        <v>0</v>
      </c>
      <c r="E61" s="16" t="s">
        <v>37</v>
      </c>
      <c r="F61" s="16"/>
      <c r="G61" s="63"/>
    </row>
    <row r="62" spans="1:8" x14ac:dyDescent="0.2">
      <c r="A62" s="16"/>
      <c r="B62" s="16"/>
      <c r="C62" s="16"/>
      <c r="D62" s="16"/>
      <c r="E62" s="16"/>
      <c r="F62" s="16"/>
    </row>
    <row r="63" spans="1:8" x14ac:dyDescent="0.2">
      <c r="A63" s="33" t="s">
        <v>193</v>
      </c>
      <c r="B63" s="33"/>
      <c r="C63" s="33"/>
      <c r="D63" s="33">
        <f>SUM(D58:D61)</f>
        <v>17325.884066666666</v>
      </c>
      <c r="E63" s="33" t="s">
        <v>131</v>
      </c>
      <c r="F63" s="16"/>
    </row>
    <row r="64" spans="1:8" x14ac:dyDescent="0.2">
      <c r="A64" s="16"/>
      <c r="B64" s="16"/>
      <c r="C64" s="16"/>
      <c r="D64" s="16" t="s">
        <v>8</v>
      </c>
      <c r="E64" s="16"/>
      <c r="F64" s="16"/>
    </row>
    <row r="65" spans="1:17" s="103" customFormat="1" x14ac:dyDescent="0.2">
      <c r="A65" s="122" t="s">
        <v>395</v>
      </c>
      <c r="B65" s="176">
        <f>BDI!C12/100</f>
        <v>0.29712344612244879</v>
      </c>
      <c r="C65" s="122"/>
      <c r="D65" s="165">
        <f>D67-D63</f>
        <v>5147.9263810060256</v>
      </c>
      <c r="E65" s="122" t="s">
        <v>131</v>
      </c>
      <c r="F65" s="165"/>
      <c r="G65" s="122"/>
      <c r="H65" s="40"/>
      <c r="I65" s="69"/>
      <c r="O65" s="174"/>
      <c r="Q65" s="146"/>
    </row>
    <row r="66" spans="1:17" x14ac:dyDescent="0.2">
      <c r="A66" s="16"/>
      <c r="B66" s="16"/>
      <c r="C66" s="16"/>
      <c r="D66" s="16"/>
      <c r="E66" s="16"/>
      <c r="F66" s="153"/>
      <c r="G66" s="154"/>
      <c r="H66" s="16"/>
    </row>
    <row r="67" spans="1:17" x14ac:dyDescent="0.2">
      <c r="A67" s="87" t="s">
        <v>362</v>
      </c>
      <c r="B67" s="90"/>
      <c r="C67" s="90"/>
      <c r="D67" s="33">
        <f>D63*BDI!C20</f>
        <v>22473.810447672691</v>
      </c>
      <c r="E67" s="33" t="s">
        <v>37</v>
      </c>
      <c r="F67" s="152"/>
      <c r="G67" s="151"/>
      <c r="H67" s="16"/>
      <c r="I67" s="89"/>
    </row>
    <row r="68" spans="1:17" x14ac:dyDescent="0.2">
      <c r="A68" s="88" t="s">
        <v>363</v>
      </c>
      <c r="B68" s="33"/>
      <c r="C68" s="33"/>
      <c r="D68" s="33">
        <f>CAPINAÇÃO!D89</f>
        <v>20</v>
      </c>
      <c r="E68" s="33" t="s">
        <v>215</v>
      </c>
      <c r="F68" s="16"/>
    </row>
    <row r="69" spans="1:17" x14ac:dyDescent="0.2">
      <c r="A69" s="88" t="s">
        <v>364</v>
      </c>
      <c r="B69" s="33"/>
      <c r="C69" s="33"/>
      <c r="D69" s="33">
        <f>ROUND(D67/D68,2)</f>
        <v>1123.69</v>
      </c>
      <c r="E69" s="33" t="s">
        <v>86</v>
      </c>
      <c r="F69" s="11"/>
    </row>
    <row r="74" spans="1:17" x14ac:dyDescent="0.2">
      <c r="D74" s="16"/>
    </row>
    <row r="77" spans="1:17" x14ac:dyDescent="0.2">
      <c r="D77" s="96"/>
    </row>
  </sheetData>
  <mergeCells count="4">
    <mergeCell ref="A1:E1"/>
    <mergeCell ref="A2:E2"/>
    <mergeCell ref="A4:B4"/>
    <mergeCell ref="A8:E8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colBreaks count="1" manualBreakCount="1">
    <brk id="5" max="1048575" man="1"/>
  </colBreaks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98"/>
  <sheetViews>
    <sheetView view="pageBreakPreview" topLeftCell="A6" zoomScaleSheetLayoutView="100" workbookViewId="0">
      <selection activeCell="B32" sqref="B32"/>
    </sheetView>
  </sheetViews>
  <sheetFormatPr defaultColWidth="12" defaultRowHeight="12.75" x14ac:dyDescent="0.2"/>
  <cols>
    <col min="1" max="1" width="50.83203125" style="13" customWidth="1"/>
    <col min="2" max="2" width="10.83203125" style="13" customWidth="1"/>
    <col min="3" max="3" width="6" style="13" customWidth="1"/>
    <col min="4" max="4" width="14.83203125" style="13" customWidth="1"/>
    <col min="5" max="5" width="15.6640625" style="13" customWidth="1"/>
    <col min="6" max="6" width="15.33203125" style="13" customWidth="1"/>
    <col min="7" max="7" width="13.83203125" style="13" customWidth="1"/>
    <col min="8" max="16384" width="12" style="11"/>
  </cols>
  <sheetData>
    <row r="1" spans="1:7" hidden="1" x14ac:dyDescent="0.2">
      <c r="A1" s="357" t="s">
        <v>226</v>
      </c>
      <c r="B1" s="357"/>
      <c r="C1" s="357"/>
      <c r="D1" s="357"/>
      <c r="E1" s="357"/>
      <c r="F1" s="12"/>
      <c r="G1" s="11"/>
    </row>
    <row r="2" spans="1:7" ht="18" hidden="1" customHeight="1" x14ac:dyDescent="0.2">
      <c r="A2" s="357"/>
      <c r="B2" s="357"/>
      <c r="C2" s="357"/>
      <c r="D2" s="357"/>
      <c r="E2" s="357"/>
      <c r="F2" s="12"/>
      <c r="G2" s="11"/>
    </row>
    <row r="3" spans="1:7" hidden="1" x14ac:dyDescent="0.2">
      <c r="G3" s="11"/>
    </row>
    <row r="4" spans="1:7" hidden="1" x14ac:dyDescent="0.2">
      <c r="G4" s="11"/>
    </row>
    <row r="5" spans="1:7" hidden="1" x14ac:dyDescent="0.2">
      <c r="A5" s="224" t="s">
        <v>228</v>
      </c>
      <c r="D5" s="224" t="s">
        <v>222</v>
      </c>
      <c r="G5" s="11"/>
    </row>
    <row r="6" spans="1:7" x14ac:dyDescent="0.2">
      <c r="G6" s="11"/>
    </row>
    <row r="7" spans="1:7" x14ac:dyDescent="0.2">
      <c r="A7" s="339" t="s">
        <v>0</v>
      </c>
      <c r="B7" s="339"/>
      <c r="C7" s="339"/>
      <c r="D7" s="339"/>
      <c r="E7" s="339"/>
      <c r="F7" s="72"/>
      <c r="G7" s="11"/>
    </row>
    <row r="8" spans="1:7" x14ac:dyDescent="0.2">
      <c r="A8" s="16"/>
      <c r="B8" s="16"/>
      <c r="C8" s="16"/>
      <c r="D8" s="16"/>
      <c r="E8" s="16"/>
      <c r="F8" s="16"/>
      <c r="G8" s="16"/>
    </row>
    <row r="9" spans="1:7" x14ac:dyDescent="0.2">
      <c r="A9" s="73" t="s">
        <v>593</v>
      </c>
      <c r="B9" s="73"/>
      <c r="C9" s="73"/>
      <c r="D9" s="18"/>
      <c r="E9" s="74"/>
      <c r="F9" s="18"/>
      <c r="G9" s="18"/>
    </row>
    <row r="10" spans="1:7" x14ac:dyDescent="0.2">
      <c r="A10" s="16"/>
      <c r="B10" s="16"/>
      <c r="C10" s="16"/>
      <c r="D10" s="16"/>
      <c r="E10" s="16"/>
      <c r="F10" s="16"/>
      <c r="G10" s="16"/>
    </row>
    <row r="11" spans="1:7" x14ac:dyDescent="0.2">
      <c r="A11" s="86" t="s">
        <v>34</v>
      </c>
      <c r="B11" s="84"/>
      <c r="C11" s="84"/>
      <c r="D11" s="16"/>
      <c r="E11" s="16"/>
      <c r="F11" s="18"/>
      <c r="G11" s="16"/>
    </row>
    <row r="12" spans="1:7" x14ac:dyDescent="0.2">
      <c r="A12" s="16"/>
      <c r="B12" s="16"/>
      <c r="C12" s="16"/>
      <c r="D12" s="16"/>
      <c r="E12" s="16"/>
      <c r="F12" s="16"/>
      <c r="G12" s="16"/>
    </row>
    <row r="13" spans="1:7" x14ac:dyDescent="0.2">
      <c r="A13" s="76" t="s">
        <v>475</v>
      </c>
      <c r="B13" s="76"/>
      <c r="C13" s="76"/>
      <c r="D13" s="16">
        <v>15</v>
      </c>
      <c r="E13" s="16" t="s">
        <v>35</v>
      </c>
      <c r="F13" s="16"/>
      <c r="G13" s="16"/>
    </row>
    <row r="14" spans="1:7" x14ac:dyDescent="0.2">
      <c r="A14" s="76" t="s">
        <v>328</v>
      </c>
      <c r="B14" s="65"/>
      <c r="C14" s="65"/>
      <c r="D14" s="16">
        <f>+COLETOR!B32</f>
        <v>3512.0801999999999</v>
      </c>
      <c r="E14" s="65" t="s">
        <v>36</v>
      </c>
      <c r="F14" s="16"/>
      <c r="G14" s="16"/>
    </row>
    <row r="15" spans="1:7" x14ac:dyDescent="0.2">
      <c r="A15" s="65" t="s">
        <v>481</v>
      </c>
      <c r="B15" s="65"/>
      <c r="C15" s="65"/>
      <c r="D15" s="16"/>
      <c r="E15" s="76" t="s">
        <v>37</v>
      </c>
      <c r="F15" s="16"/>
      <c r="G15" s="11"/>
    </row>
    <row r="16" spans="1:7" x14ac:dyDescent="0.2">
      <c r="A16" s="76" t="s">
        <v>42</v>
      </c>
      <c r="B16" s="76"/>
      <c r="C16" s="76"/>
      <c r="D16" s="16">
        <f>(D13*D14)+D15</f>
        <v>52681.203000000001</v>
      </c>
      <c r="E16" s="16" t="s">
        <v>37</v>
      </c>
      <c r="F16" s="16"/>
      <c r="G16" s="16"/>
    </row>
    <row r="17" spans="1:7" x14ac:dyDescent="0.2">
      <c r="A17" s="76"/>
      <c r="B17" s="76"/>
      <c r="C17" s="76"/>
      <c r="D17" s="16"/>
      <c r="E17" s="16"/>
      <c r="F17" s="16"/>
      <c r="G17" s="16"/>
    </row>
    <row r="18" spans="1:7" x14ac:dyDescent="0.2">
      <c r="A18" s="65" t="s">
        <v>38</v>
      </c>
      <c r="B18" s="65"/>
      <c r="C18" s="65"/>
      <c r="D18" s="16">
        <v>1</v>
      </c>
      <c r="E18" s="16" t="s">
        <v>35</v>
      </c>
      <c r="F18" s="16"/>
      <c r="G18" s="16"/>
    </row>
    <row r="19" spans="1:7" x14ac:dyDescent="0.2">
      <c r="A19" s="16" t="s">
        <v>321</v>
      </c>
      <c r="B19" s="16"/>
      <c r="C19" s="16"/>
      <c r="D19" s="16">
        <f>'ENC I'!B32</f>
        <v>5896.6907724273269</v>
      </c>
      <c r="E19" s="16" t="s">
        <v>36</v>
      </c>
      <c r="F19" s="16"/>
      <c r="G19" s="16"/>
    </row>
    <row r="20" spans="1:7" x14ac:dyDescent="0.2">
      <c r="A20" s="65" t="s">
        <v>481</v>
      </c>
      <c r="B20" s="65"/>
      <c r="C20" s="65"/>
      <c r="D20" s="16"/>
      <c r="E20" s="76" t="s">
        <v>37</v>
      </c>
      <c r="F20" s="16"/>
      <c r="G20" s="11"/>
    </row>
    <row r="21" spans="1:7" x14ac:dyDescent="0.2">
      <c r="A21" s="16" t="s">
        <v>48</v>
      </c>
      <c r="B21" s="16"/>
      <c r="C21" s="16"/>
      <c r="D21" s="16">
        <f>(D18*D19)+D20</f>
        <v>5896.6907724273269</v>
      </c>
      <c r="E21" s="16" t="s">
        <v>43</v>
      </c>
      <c r="F21" s="16"/>
      <c r="G21" s="16"/>
    </row>
    <row r="22" spans="1:7" x14ac:dyDescent="0.2">
      <c r="A22" s="16"/>
      <c r="B22" s="16"/>
      <c r="C22" s="16"/>
      <c r="D22" s="16"/>
      <c r="E22" s="16"/>
      <c r="F22" s="16"/>
      <c r="G22" s="16"/>
    </row>
    <row r="23" spans="1:7" x14ac:dyDescent="0.2">
      <c r="A23" s="76"/>
      <c r="B23" s="76"/>
      <c r="C23" s="76"/>
      <c r="D23" s="16"/>
      <c r="E23" s="16"/>
      <c r="F23" s="16"/>
      <c r="G23" s="16"/>
    </row>
    <row r="24" spans="1:7" x14ac:dyDescent="0.2">
      <c r="A24" s="101" t="s">
        <v>204</v>
      </c>
      <c r="B24" s="101"/>
      <c r="C24" s="101"/>
      <c r="D24" s="33">
        <f>D16+D21</f>
        <v>58577.893772427327</v>
      </c>
      <c r="E24" s="33" t="s">
        <v>131</v>
      </c>
      <c r="F24" s="16"/>
      <c r="G24" s="16"/>
    </row>
    <row r="25" spans="1:7" x14ac:dyDescent="0.2">
      <c r="A25" s="76"/>
      <c r="B25" s="76"/>
      <c r="C25" s="76"/>
      <c r="D25" s="16"/>
      <c r="E25" s="16"/>
      <c r="F25" s="16"/>
      <c r="G25" s="16"/>
    </row>
    <row r="26" spans="1:7" x14ac:dyDescent="0.2">
      <c r="A26" s="99" t="s">
        <v>540</v>
      </c>
      <c r="B26" s="94"/>
      <c r="C26" s="94"/>
      <c r="D26" s="82"/>
      <c r="E26" s="16"/>
      <c r="F26" s="16"/>
      <c r="G26" s="11"/>
    </row>
    <row r="27" spans="1:7" x14ac:dyDescent="0.2">
      <c r="A27" s="81"/>
      <c r="B27" s="81"/>
      <c r="C27" s="81"/>
      <c r="D27" s="82"/>
      <c r="E27" s="16"/>
      <c r="F27" s="16"/>
      <c r="G27" s="11"/>
    </row>
    <row r="28" spans="1:7" x14ac:dyDescent="0.2">
      <c r="A28" s="23" t="s">
        <v>113</v>
      </c>
      <c r="B28" s="226">
        <v>12</v>
      </c>
      <c r="C28" s="100" t="s">
        <v>114</v>
      </c>
      <c r="D28" s="16">
        <f>B28*PREÇOS!J6</f>
        <v>173.6</v>
      </c>
      <c r="E28" s="16" t="s">
        <v>37</v>
      </c>
      <c r="F28" s="83"/>
      <c r="G28" s="16"/>
    </row>
    <row r="29" spans="1:7" x14ac:dyDescent="0.2">
      <c r="A29" s="16" t="s">
        <v>116</v>
      </c>
      <c r="B29" s="226">
        <v>8</v>
      </c>
      <c r="C29" s="100" t="s">
        <v>114</v>
      </c>
      <c r="D29" s="16">
        <f>B29*PREÇOS!J5</f>
        <v>644</v>
      </c>
      <c r="E29" s="16" t="s">
        <v>37</v>
      </c>
      <c r="F29" s="83"/>
      <c r="G29" s="16"/>
    </row>
    <row r="30" spans="1:7" x14ac:dyDescent="0.2">
      <c r="A30" s="16" t="s">
        <v>117</v>
      </c>
      <c r="B30" s="226">
        <v>4</v>
      </c>
      <c r="C30" s="100" t="s">
        <v>114</v>
      </c>
      <c r="D30" s="16">
        <f>B30*PREÇOS!J8</f>
        <v>129.78</v>
      </c>
      <c r="E30" s="16" t="s">
        <v>37</v>
      </c>
      <c r="F30" s="79"/>
      <c r="G30" s="16"/>
    </row>
    <row r="31" spans="1:7" x14ac:dyDescent="0.2">
      <c r="A31" s="16" t="s">
        <v>118</v>
      </c>
      <c r="B31" s="226">
        <v>6</v>
      </c>
      <c r="C31" s="100" t="s">
        <v>114</v>
      </c>
      <c r="D31" s="16">
        <f>B31*PREÇOS!J7</f>
        <v>139.80000000000001</v>
      </c>
      <c r="E31" s="16" t="s">
        <v>37</v>
      </c>
      <c r="F31" s="79"/>
      <c r="G31" s="16"/>
    </row>
    <row r="32" spans="1:7" x14ac:dyDescent="0.2">
      <c r="A32" s="16" t="s">
        <v>119</v>
      </c>
      <c r="B32" s="226">
        <v>13</v>
      </c>
      <c r="C32" s="100" t="s">
        <v>114</v>
      </c>
      <c r="D32" s="16">
        <f>B32*PREÇOS!J9</f>
        <v>323.41111111111115</v>
      </c>
      <c r="E32" s="16" t="s">
        <v>37</v>
      </c>
      <c r="F32" s="79"/>
      <c r="G32" s="16"/>
    </row>
    <row r="33" spans="1:7" x14ac:dyDescent="0.2">
      <c r="A33" s="16" t="s">
        <v>120</v>
      </c>
      <c r="B33" s="226">
        <v>6</v>
      </c>
      <c r="C33" s="100" t="s">
        <v>114</v>
      </c>
      <c r="D33" s="16">
        <f>B33*PREÇOS!J10</f>
        <v>541.9</v>
      </c>
      <c r="E33" s="16" t="s">
        <v>37</v>
      </c>
      <c r="F33" s="79"/>
      <c r="G33" s="16"/>
    </row>
    <row r="34" spans="1:7" x14ac:dyDescent="0.2">
      <c r="A34" s="16" t="s">
        <v>102</v>
      </c>
      <c r="B34" s="226">
        <v>15</v>
      </c>
      <c r="C34" s="100" t="s">
        <v>114</v>
      </c>
      <c r="D34" s="16">
        <f>B34*PREÇOS!J12</f>
        <v>94.041666666666671</v>
      </c>
      <c r="E34" s="16" t="s">
        <v>37</v>
      </c>
      <c r="F34" s="79"/>
      <c r="G34" s="16"/>
    </row>
    <row r="35" spans="1:7" x14ac:dyDescent="0.2">
      <c r="A35" s="16" t="s">
        <v>123</v>
      </c>
      <c r="B35" s="226">
        <v>3</v>
      </c>
      <c r="C35" s="100" t="s">
        <v>114</v>
      </c>
      <c r="D35" s="16">
        <f>B35*PREÇOS!J17</f>
        <v>69.900000000000006</v>
      </c>
      <c r="E35" s="16" t="s">
        <v>37</v>
      </c>
      <c r="F35" s="79"/>
      <c r="G35" s="16"/>
    </row>
    <row r="36" spans="1:7" x14ac:dyDescent="0.2">
      <c r="A36" s="16" t="s">
        <v>122</v>
      </c>
      <c r="B36" s="226">
        <v>3</v>
      </c>
      <c r="C36" s="100" t="s">
        <v>114</v>
      </c>
      <c r="D36" s="16">
        <f>B36*PREÇOS!J16</f>
        <v>46.4</v>
      </c>
      <c r="E36" s="16" t="s">
        <v>37</v>
      </c>
      <c r="F36" s="79"/>
      <c r="G36" s="16"/>
    </row>
    <row r="37" spans="1:7" x14ac:dyDescent="0.2">
      <c r="A37" s="16" t="s">
        <v>129</v>
      </c>
      <c r="B37" s="226">
        <v>3</v>
      </c>
      <c r="C37" s="100" t="s">
        <v>114</v>
      </c>
      <c r="D37" s="16">
        <f>B37*PREÇOS!J13</f>
        <v>43.94</v>
      </c>
      <c r="E37" s="16" t="s">
        <v>37</v>
      </c>
      <c r="F37" s="16"/>
    </row>
    <row r="38" spans="1:7" x14ac:dyDescent="0.2">
      <c r="A38" s="16" t="s">
        <v>130</v>
      </c>
      <c r="B38" s="227">
        <v>350</v>
      </c>
      <c r="C38" s="92" t="s">
        <v>128</v>
      </c>
      <c r="D38" s="16">
        <f>B38*PREÇOS!G20</f>
        <v>2586.5</v>
      </c>
      <c r="E38" s="16" t="s">
        <v>37</v>
      </c>
      <c r="F38" s="79"/>
      <c r="G38" s="16"/>
    </row>
    <row r="39" spans="1:7" hidden="1" x14ac:dyDescent="0.2">
      <c r="A39" s="16" t="s">
        <v>300</v>
      </c>
      <c r="B39" s="226"/>
      <c r="C39" s="100" t="s">
        <v>114</v>
      </c>
      <c r="D39" s="16">
        <f>B39*PREÇOS!J14</f>
        <v>0</v>
      </c>
      <c r="E39" s="16" t="s">
        <v>37</v>
      </c>
      <c r="F39" s="79"/>
      <c r="G39" s="16"/>
    </row>
    <row r="40" spans="1:7" x14ac:dyDescent="0.2">
      <c r="A40" s="16" t="s">
        <v>340</v>
      </c>
      <c r="B40" s="226">
        <v>3</v>
      </c>
      <c r="C40" s="100" t="s">
        <v>114</v>
      </c>
      <c r="D40" s="16">
        <f>B40*PREÇOS!J18</f>
        <v>453.75</v>
      </c>
      <c r="E40" s="16" t="s">
        <v>37</v>
      </c>
      <c r="F40" s="16"/>
    </row>
    <row r="41" spans="1:7" x14ac:dyDescent="0.2">
      <c r="A41" s="44" t="s">
        <v>493</v>
      </c>
      <c r="B41" s="222">
        <f>(D13+D18)*2*26</f>
        <v>832</v>
      </c>
      <c r="C41" s="125" t="s">
        <v>494</v>
      </c>
      <c r="D41" s="44">
        <f>B41*PREÇOS!J29</f>
        <v>291.2</v>
      </c>
      <c r="E41" s="44" t="s">
        <v>43</v>
      </c>
      <c r="F41" s="79"/>
      <c r="G41" s="16"/>
    </row>
    <row r="42" spans="1:7" hidden="1" x14ac:dyDescent="0.2">
      <c r="A42" s="16" t="s">
        <v>72</v>
      </c>
      <c r="B42" s="16"/>
      <c r="C42" s="16"/>
      <c r="D42" s="85"/>
      <c r="E42" s="16"/>
      <c r="F42" s="16"/>
      <c r="G42" s="16"/>
    </row>
    <row r="43" spans="1:7" hidden="1" x14ac:dyDescent="0.2">
      <c r="A43" s="16" t="s">
        <v>57</v>
      </c>
      <c r="B43" s="16"/>
      <c r="C43" s="16"/>
      <c r="D43" s="16" t="e">
        <f>D42*#REF!</f>
        <v>#REF!</v>
      </c>
      <c r="E43" s="16" t="s">
        <v>71</v>
      </c>
      <c r="F43" s="16"/>
      <c r="G43" s="16"/>
    </row>
    <row r="44" spans="1:7" x14ac:dyDescent="0.2">
      <c r="A44" s="76"/>
      <c r="B44" s="76"/>
      <c r="C44" s="76"/>
      <c r="D44" s="16"/>
      <c r="E44" s="16"/>
      <c r="F44" s="16"/>
      <c r="G44" s="16"/>
    </row>
    <row r="45" spans="1:7" x14ac:dyDescent="0.2">
      <c r="A45" s="101" t="s">
        <v>205</v>
      </c>
      <c r="B45" s="101"/>
      <c r="C45" s="101"/>
      <c r="D45" s="33">
        <f>SUM(D28:D41)</f>
        <v>5538.222777777778</v>
      </c>
      <c r="E45" s="33" t="s">
        <v>131</v>
      </c>
      <c r="F45" s="16"/>
      <c r="G45" s="16"/>
    </row>
    <row r="46" spans="1:7" hidden="1" x14ac:dyDescent="0.2">
      <c r="A46" s="76"/>
      <c r="B46" s="76"/>
      <c r="C46" s="76"/>
      <c r="D46" s="16"/>
      <c r="E46" s="16"/>
      <c r="F46" s="16"/>
      <c r="G46" s="16"/>
    </row>
    <row r="47" spans="1:7" hidden="1" x14ac:dyDescent="0.2">
      <c r="A47" s="99" t="s">
        <v>314</v>
      </c>
      <c r="B47" s="94"/>
      <c r="C47" s="94"/>
      <c r="D47" s="16"/>
      <c r="E47" s="16"/>
      <c r="F47" s="16"/>
      <c r="G47" s="16"/>
    </row>
    <row r="48" spans="1:7" hidden="1" x14ac:dyDescent="0.2">
      <c r="A48" s="16"/>
      <c r="B48" s="16"/>
      <c r="C48" s="16"/>
      <c r="D48" s="16"/>
      <c r="E48" s="16"/>
      <c r="F48" s="16"/>
      <c r="G48" s="16"/>
    </row>
    <row r="49" spans="1:17" hidden="1" x14ac:dyDescent="0.2">
      <c r="A49" s="16" t="s">
        <v>315</v>
      </c>
      <c r="B49" s="16"/>
      <c r="C49" s="16"/>
      <c r="D49" s="16"/>
      <c r="E49" s="16" t="s">
        <v>308</v>
      </c>
      <c r="F49" s="16"/>
      <c r="G49" s="16"/>
    </row>
    <row r="50" spans="1:17" hidden="1" x14ac:dyDescent="0.2">
      <c r="A50" s="16" t="s">
        <v>316</v>
      </c>
      <c r="B50" s="16"/>
      <c r="C50" s="16"/>
      <c r="D50" s="16" t="e">
        <f>#REF!</f>
        <v>#REF!</v>
      </c>
      <c r="E50" s="16" t="s">
        <v>307</v>
      </c>
      <c r="F50" s="16"/>
      <c r="G50" s="16"/>
    </row>
    <row r="51" spans="1:17" hidden="1" x14ac:dyDescent="0.2">
      <c r="A51" s="16" t="s">
        <v>317</v>
      </c>
      <c r="B51" s="16"/>
      <c r="C51" s="16"/>
      <c r="D51" s="16" t="e">
        <f>D49*D50</f>
        <v>#REF!</v>
      </c>
      <c r="E51" s="16" t="s">
        <v>43</v>
      </c>
      <c r="F51" s="16"/>
      <c r="G51" s="16"/>
    </row>
    <row r="52" spans="1:17" hidden="1" x14ac:dyDescent="0.2">
      <c r="A52" s="76"/>
      <c r="B52" s="76"/>
      <c r="C52" s="76"/>
      <c r="D52" s="16"/>
      <c r="E52" s="16"/>
      <c r="F52" s="16"/>
      <c r="G52" s="16"/>
    </row>
    <row r="53" spans="1:17" hidden="1" x14ac:dyDescent="0.2">
      <c r="A53" s="101" t="s">
        <v>302</v>
      </c>
      <c r="B53" s="101"/>
      <c r="C53" s="101"/>
      <c r="D53" s="33" t="e">
        <f>D51</f>
        <v>#REF!</v>
      </c>
      <c r="E53" s="33" t="s">
        <v>131</v>
      </c>
      <c r="F53" s="16"/>
      <c r="G53" s="16"/>
    </row>
    <row r="54" spans="1:17" x14ac:dyDescent="0.2">
      <c r="A54" s="76"/>
      <c r="B54" s="76"/>
      <c r="C54" s="76"/>
      <c r="D54" s="16"/>
      <c r="E54" s="16"/>
      <c r="F54" s="16"/>
      <c r="G54" s="16"/>
    </row>
    <row r="55" spans="1:17" s="132" customFormat="1" hidden="1" x14ac:dyDescent="0.2">
      <c r="A55" s="127" t="s">
        <v>524</v>
      </c>
      <c r="B55" s="44"/>
      <c r="C55" s="44"/>
      <c r="D55" s="44"/>
      <c r="E55" s="44"/>
      <c r="F55" s="44"/>
      <c r="G55" s="44"/>
      <c r="H55" s="44"/>
      <c r="I55" s="44"/>
      <c r="O55" s="157"/>
      <c r="Q55" s="69"/>
    </row>
    <row r="56" spans="1:17" s="132" customFormat="1" hidden="1" x14ac:dyDescent="0.2">
      <c r="A56" s="127"/>
      <c r="B56" s="44"/>
      <c r="C56" s="44"/>
      <c r="D56" s="44"/>
      <c r="E56" s="44"/>
      <c r="F56" s="44"/>
      <c r="G56" s="44"/>
      <c r="H56" s="44"/>
      <c r="I56" s="44"/>
      <c r="O56" s="157"/>
      <c r="Q56" s="69"/>
    </row>
    <row r="57" spans="1:17" s="132" customFormat="1" hidden="1" x14ac:dyDescent="0.2">
      <c r="A57" s="225" t="s">
        <v>525</v>
      </c>
      <c r="B57" s="44"/>
      <c r="C57" s="44"/>
      <c r="D57" s="44"/>
      <c r="E57" s="44"/>
      <c r="F57" s="44"/>
      <c r="G57" s="44"/>
      <c r="H57" s="44"/>
      <c r="I57" s="44"/>
      <c r="O57" s="157"/>
      <c r="Q57" s="69"/>
    </row>
    <row r="58" spans="1:17" s="132" customFormat="1" hidden="1" x14ac:dyDescent="0.2">
      <c r="A58" s="225" t="s">
        <v>526</v>
      </c>
      <c r="B58" s="44"/>
      <c r="C58" s="44"/>
      <c r="D58" s="44">
        <f>63*1.5</f>
        <v>94.5</v>
      </c>
      <c r="E58" s="44" t="s">
        <v>496</v>
      </c>
      <c r="F58" s="44"/>
      <c r="G58" s="44"/>
      <c r="H58" s="44"/>
      <c r="I58" s="44"/>
      <c r="O58" s="157"/>
      <c r="Q58" s="69"/>
    </row>
    <row r="59" spans="1:17" s="132" customFormat="1" hidden="1" x14ac:dyDescent="0.2">
      <c r="A59" s="225" t="s">
        <v>527</v>
      </c>
      <c r="B59" s="44"/>
      <c r="C59" s="44"/>
      <c r="D59" s="44">
        <f>47.25*1.3</f>
        <v>61.425000000000004</v>
      </c>
      <c r="E59" s="44" t="s">
        <v>506</v>
      </c>
      <c r="F59" s="44"/>
      <c r="G59" s="44"/>
      <c r="H59" s="44"/>
      <c r="I59" s="44"/>
      <c r="O59" s="157"/>
      <c r="Q59" s="69"/>
    </row>
    <row r="60" spans="1:17" s="132" customFormat="1" hidden="1" x14ac:dyDescent="0.2">
      <c r="A60" s="225"/>
      <c r="B60" s="44"/>
      <c r="C60" s="44"/>
      <c r="D60" s="44"/>
      <c r="E60" s="44"/>
      <c r="F60" s="44"/>
      <c r="G60" s="44"/>
      <c r="H60" s="44"/>
      <c r="I60" s="44"/>
      <c r="O60" s="157"/>
      <c r="Q60" s="69"/>
    </row>
    <row r="61" spans="1:17" s="132" customFormat="1" hidden="1" x14ac:dyDescent="0.2">
      <c r="A61" s="225" t="s">
        <v>528</v>
      </c>
      <c r="B61" s="44"/>
      <c r="C61" s="44"/>
      <c r="D61" s="44"/>
      <c r="E61" s="44"/>
      <c r="F61" s="44"/>
      <c r="G61" s="44"/>
      <c r="H61" s="44"/>
      <c r="I61" s="44"/>
      <c r="O61" s="157"/>
      <c r="Q61" s="69"/>
    </row>
    <row r="62" spans="1:17" s="132" customFormat="1" hidden="1" x14ac:dyDescent="0.2">
      <c r="A62" s="225" t="s">
        <v>529</v>
      </c>
      <c r="B62" s="44"/>
      <c r="C62" s="44"/>
      <c r="D62" s="44">
        <v>800</v>
      </c>
      <c r="E62" s="44" t="s">
        <v>505</v>
      </c>
      <c r="F62" s="44"/>
      <c r="G62" s="44"/>
      <c r="H62" s="44"/>
      <c r="I62" s="44"/>
      <c r="O62" s="157"/>
      <c r="Q62" s="69"/>
    </row>
    <row r="63" spans="1:17" s="132" customFormat="1" hidden="1" x14ac:dyDescent="0.2">
      <c r="A63" s="225" t="s">
        <v>530</v>
      </c>
      <c r="B63" s="44"/>
      <c r="C63" s="44"/>
      <c r="D63" s="44">
        <v>60</v>
      </c>
      <c r="E63" s="44" t="s">
        <v>506</v>
      </c>
      <c r="F63" s="44"/>
      <c r="G63" s="44"/>
      <c r="H63" s="44"/>
      <c r="I63" s="44"/>
      <c r="O63" s="157"/>
      <c r="Q63" s="69"/>
    </row>
    <row r="64" spans="1:17" s="132" customFormat="1" hidden="1" x14ac:dyDescent="0.2">
      <c r="A64" s="225" t="s">
        <v>531</v>
      </c>
      <c r="B64" s="44"/>
      <c r="C64" s="44"/>
      <c r="D64" s="44">
        <v>30</v>
      </c>
      <c r="E64" s="44" t="s">
        <v>55</v>
      </c>
      <c r="F64" s="44"/>
      <c r="G64" s="44"/>
      <c r="H64" s="44"/>
      <c r="I64" s="44"/>
      <c r="O64" s="157"/>
      <c r="Q64" s="69"/>
    </row>
    <row r="65" spans="1:17" s="132" customFormat="1" hidden="1" x14ac:dyDescent="0.2">
      <c r="A65" s="44" t="s">
        <v>532</v>
      </c>
      <c r="B65" s="44"/>
      <c r="C65" s="44"/>
      <c r="D65" s="44">
        <f>(D62/D64)+D63</f>
        <v>86.666666666666671</v>
      </c>
      <c r="E65" s="44" t="s">
        <v>507</v>
      </c>
      <c r="F65" s="44"/>
      <c r="G65" s="44"/>
      <c r="H65" s="44"/>
      <c r="I65" s="44"/>
      <c r="O65" s="157"/>
      <c r="Q65" s="69"/>
    </row>
    <row r="66" spans="1:17" s="132" customFormat="1" hidden="1" x14ac:dyDescent="0.2">
      <c r="A66" s="44"/>
      <c r="B66" s="44"/>
      <c r="C66" s="44"/>
      <c r="D66" s="44"/>
      <c r="E66" s="44"/>
      <c r="F66" s="44"/>
      <c r="G66" s="44"/>
      <c r="H66" s="44"/>
      <c r="I66" s="44"/>
      <c r="O66" s="157"/>
      <c r="Q66" s="69"/>
    </row>
    <row r="67" spans="1:17" s="132" customFormat="1" hidden="1" x14ac:dyDescent="0.2">
      <c r="A67" s="44" t="s">
        <v>533</v>
      </c>
      <c r="B67" s="44"/>
      <c r="C67" s="44"/>
      <c r="D67" s="44"/>
      <c r="E67" s="44"/>
      <c r="F67" s="44"/>
      <c r="G67" s="44"/>
      <c r="H67" s="44"/>
      <c r="I67" s="44"/>
      <c r="O67" s="157"/>
      <c r="Q67" s="69"/>
    </row>
    <row r="68" spans="1:17" s="132" customFormat="1" hidden="1" x14ac:dyDescent="0.2">
      <c r="A68" s="44" t="s">
        <v>534</v>
      </c>
      <c r="B68" s="44"/>
      <c r="C68" s="44"/>
      <c r="D68" s="44">
        <v>0</v>
      </c>
      <c r="E68" s="44" t="s">
        <v>514</v>
      </c>
      <c r="F68" s="44"/>
      <c r="G68" s="44"/>
      <c r="H68" s="44"/>
      <c r="I68" s="44"/>
      <c r="O68" s="157"/>
      <c r="Q68" s="69"/>
    </row>
    <row r="69" spans="1:17" s="132" customFormat="1" hidden="1" x14ac:dyDescent="0.2">
      <c r="A69" s="44" t="s">
        <v>535</v>
      </c>
      <c r="B69" s="44"/>
      <c r="C69" s="44"/>
      <c r="D69" s="44">
        <v>0</v>
      </c>
      <c r="E69" s="44" t="s">
        <v>514</v>
      </c>
      <c r="F69" s="44"/>
      <c r="G69" s="44"/>
      <c r="H69" s="44"/>
      <c r="I69" s="44"/>
      <c r="O69" s="157"/>
      <c r="Q69" s="69"/>
    </row>
    <row r="70" spans="1:17" s="132" customFormat="1" hidden="1" x14ac:dyDescent="0.2">
      <c r="A70" s="44" t="s">
        <v>536</v>
      </c>
      <c r="B70" s="44"/>
      <c r="C70" s="44"/>
      <c r="D70" s="44">
        <f>D58*D68</f>
        <v>0</v>
      </c>
      <c r="E70" s="44" t="s">
        <v>515</v>
      </c>
      <c r="F70" s="44"/>
      <c r="G70" s="44"/>
      <c r="H70" s="44"/>
      <c r="I70" s="44"/>
      <c r="O70" s="157"/>
      <c r="Q70" s="69"/>
    </row>
    <row r="71" spans="1:17" s="132" customFormat="1" hidden="1" x14ac:dyDescent="0.2">
      <c r="A71" s="44" t="s">
        <v>537</v>
      </c>
      <c r="B71" s="44"/>
      <c r="C71" s="44"/>
      <c r="D71" s="44">
        <f>D69*D59</f>
        <v>0</v>
      </c>
      <c r="E71" s="44" t="s">
        <v>506</v>
      </c>
      <c r="F71" s="44"/>
      <c r="G71" s="44"/>
      <c r="H71" s="44"/>
      <c r="I71" s="44"/>
      <c r="O71" s="157"/>
      <c r="Q71" s="69"/>
    </row>
    <row r="72" spans="1:17" s="132" customFormat="1" hidden="1" x14ac:dyDescent="0.2">
      <c r="A72" s="44" t="s">
        <v>538</v>
      </c>
      <c r="B72" s="44"/>
      <c r="C72" s="44"/>
      <c r="D72" s="44"/>
      <c r="E72" s="44" t="s">
        <v>514</v>
      </c>
      <c r="F72" s="44"/>
      <c r="G72" s="44"/>
      <c r="H72" s="44"/>
      <c r="I72" s="44"/>
      <c r="O72" s="157"/>
      <c r="Q72" s="69"/>
    </row>
    <row r="73" spans="1:17" s="132" customFormat="1" hidden="1" x14ac:dyDescent="0.2">
      <c r="A73" s="44" t="s">
        <v>539</v>
      </c>
      <c r="B73" s="44"/>
      <c r="C73" s="44"/>
      <c r="D73" s="44">
        <f>D65*D72</f>
        <v>0</v>
      </c>
      <c r="E73" s="44" t="s">
        <v>518</v>
      </c>
      <c r="F73" s="44"/>
      <c r="G73" s="44"/>
      <c r="H73" s="44"/>
      <c r="I73" s="44"/>
      <c r="O73" s="157"/>
      <c r="Q73" s="69"/>
    </row>
    <row r="74" spans="1:17" hidden="1" x14ac:dyDescent="0.2">
      <c r="A74" s="16"/>
      <c r="B74" s="16"/>
      <c r="C74" s="16"/>
      <c r="D74" s="16"/>
      <c r="E74" s="16"/>
      <c r="F74" s="16"/>
      <c r="G74" s="16"/>
    </row>
    <row r="75" spans="1:17" s="132" customFormat="1" hidden="1" x14ac:dyDescent="0.2">
      <c r="A75" s="122" t="s">
        <v>513</v>
      </c>
      <c r="B75" s="122"/>
      <c r="C75" s="122"/>
      <c r="D75" s="122">
        <f>D70+D71+D73</f>
        <v>0</v>
      </c>
      <c r="E75" s="122" t="s">
        <v>131</v>
      </c>
      <c r="F75" s="44"/>
      <c r="G75" s="44"/>
      <c r="H75" s="44"/>
      <c r="I75" s="44"/>
      <c r="O75" s="157"/>
      <c r="Q75" s="69"/>
    </row>
    <row r="76" spans="1:17" hidden="1" x14ac:dyDescent="0.2">
      <c r="A76" s="76"/>
      <c r="B76" s="76"/>
      <c r="C76" s="76"/>
      <c r="D76" s="16"/>
      <c r="E76" s="16"/>
      <c r="F76" s="16"/>
      <c r="G76" s="16"/>
    </row>
    <row r="77" spans="1:17" x14ac:dyDescent="0.2">
      <c r="A77" s="86" t="s">
        <v>66</v>
      </c>
      <c r="B77" s="84"/>
      <c r="C77" s="84"/>
      <c r="D77" s="16"/>
      <c r="E77" s="16"/>
      <c r="F77" s="16"/>
      <c r="G77" s="16"/>
    </row>
    <row r="78" spans="1:17" x14ac:dyDescent="0.2">
      <c r="A78" s="84"/>
      <c r="B78" s="84"/>
      <c r="C78" s="84"/>
      <c r="D78" s="16"/>
      <c r="E78" s="16"/>
      <c r="F78" s="16"/>
      <c r="G78" s="16"/>
    </row>
    <row r="79" spans="1:17" x14ac:dyDescent="0.2">
      <c r="A79" s="16" t="s">
        <v>68</v>
      </c>
      <c r="B79" s="16"/>
      <c r="C79" s="16"/>
      <c r="D79" s="16">
        <f>D24</f>
        <v>58577.893772427327</v>
      </c>
      <c r="E79" s="16" t="s">
        <v>37</v>
      </c>
      <c r="F79" s="16"/>
      <c r="G79" s="16"/>
    </row>
    <row r="80" spans="1:17" hidden="1" x14ac:dyDescent="0.2">
      <c r="A80" s="16" t="s">
        <v>58</v>
      </c>
      <c r="B80" s="16"/>
      <c r="C80" s="16"/>
      <c r="D80" s="16"/>
      <c r="E80" s="16" t="s">
        <v>37</v>
      </c>
      <c r="F80" s="16"/>
      <c r="G80" s="16"/>
    </row>
    <row r="81" spans="1:17" x14ac:dyDescent="0.2">
      <c r="A81" s="16" t="s">
        <v>541</v>
      </c>
      <c r="B81" s="16"/>
      <c r="C81" s="16"/>
      <c r="D81" s="16">
        <f>D45</f>
        <v>5538.222777777778</v>
      </c>
      <c r="E81" s="16" t="s">
        <v>37</v>
      </c>
      <c r="F81" s="16"/>
      <c r="G81" s="16"/>
    </row>
    <row r="82" spans="1:17" x14ac:dyDescent="0.2">
      <c r="A82" s="44" t="s">
        <v>519</v>
      </c>
      <c r="B82" s="16"/>
      <c r="C82" s="16"/>
      <c r="D82" s="98">
        <f>D75</f>
        <v>0</v>
      </c>
      <c r="E82" s="16" t="s">
        <v>37</v>
      </c>
      <c r="F82" s="16"/>
      <c r="G82" s="16"/>
      <c r="H82" s="63"/>
    </row>
    <row r="83" spans="1:17" x14ac:dyDescent="0.2">
      <c r="A83" s="16"/>
      <c r="B83" s="16"/>
      <c r="C83" s="16"/>
      <c r="D83" s="16"/>
      <c r="E83" s="16"/>
      <c r="F83" s="16"/>
      <c r="G83" s="16"/>
    </row>
    <row r="84" spans="1:17" x14ac:dyDescent="0.2">
      <c r="A84" s="33" t="s">
        <v>193</v>
      </c>
      <c r="B84" s="33"/>
      <c r="C84" s="33"/>
      <c r="D84" s="33">
        <f>SUM(D79:D82)</f>
        <v>64116.116550205108</v>
      </c>
      <c r="E84" s="33" t="s">
        <v>131</v>
      </c>
      <c r="F84" s="16"/>
      <c r="G84" s="16"/>
    </row>
    <row r="85" spans="1:17" x14ac:dyDescent="0.2">
      <c r="A85" s="16"/>
      <c r="B85" s="16"/>
      <c r="C85" s="16"/>
      <c r="D85" s="16" t="s">
        <v>8</v>
      </c>
      <c r="E85" s="16"/>
      <c r="F85" s="16"/>
      <c r="G85" s="16"/>
    </row>
    <row r="86" spans="1:17" s="103" customFormat="1" x14ac:dyDescent="0.2">
      <c r="A86" s="122" t="s">
        <v>391</v>
      </c>
      <c r="B86" s="176">
        <f>BDI!C12/100</f>
        <v>0.29712344612244879</v>
      </c>
      <c r="C86" s="122"/>
      <c r="D86" s="165">
        <f>D88-D84</f>
        <v>19050.401501385517</v>
      </c>
      <c r="E86" s="122" t="s">
        <v>131</v>
      </c>
      <c r="F86" s="165"/>
      <c r="G86" s="122"/>
      <c r="H86" s="40"/>
      <c r="I86" s="69"/>
      <c r="O86" s="174"/>
      <c r="Q86" s="146"/>
    </row>
    <row r="87" spans="1:17" x14ac:dyDescent="0.2">
      <c r="A87" s="16"/>
      <c r="B87" s="16"/>
      <c r="C87" s="16"/>
      <c r="D87" s="16"/>
      <c r="E87" s="16"/>
      <c r="F87" s="153"/>
      <c r="G87" s="154"/>
      <c r="H87" s="16"/>
    </row>
    <row r="88" spans="1:17" x14ac:dyDescent="0.2">
      <c r="A88" s="87" t="s">
        <v>201</v>
      </c>
      <c r="B88" s="90"/>
      <c r="C88" s="90"/>
      <c r="D88" s="33">
        <f>D84*BDI!C20</f>
        <v>83166.518051590625</v>
      </c>
      <c r="E88" s="33" t="s">
        <v>37</v>
      </c>
      <c r="F88" s="152"/>
      <c r="G88" s="151"/>
      <c r="H88" s="16"/>
      <c r="I88" s="89"/>
      <c r="M88" s="11">
        <f>110*9</f>
        <v>990</v>
      </c>
    </row>
    <row r="89" spans="1:17" x14ac:dyDescent="0.2">
      <c r="A89" s="88" t="s">
        <v>202</v>
      </c>
      <c r="B89" s="33"/>
      <c r="C89" s="33"/>
      <c r="D89" s="33">
        <v>1</v>
      </c>
      <c r="E89" s="33" t="s">
        <v>443</v>
      </c>
      <c r="F89" s="16"/>
      <c r="G89" s="16"/>
    </row>
    <row r="90" spans="1:17" x14ac:dyDescent="0.2">
      <c r="A90" s="88" t="s">
        <v>203</v>
      </c>
      <c r="B90" s="33"/>
      <c r="C90" s="33"/>
      <c r="D90" s="33">
        <f>ROUND(D88/D89,2)</f>
        <v>83166.52</v>
      </c>
      <c r="E90" s="33" t="s">
        <v>444</v>
      </c>
      <c r="F90" s="11"/>
      <c r="G90" s="16"/>
    </row>
    <row r="91" spans="1:17" x14ac:dyDescent="0.2">
      <c r="A91" s="16"/>
      <c r="B91" s="16"/>
      <c r="C91" s="16"/>
      <c r="D91" s="16"/>
      <c r="E91" s="16"/>
      <c r="F91" s="16"/>
      <c r="G91" s="16"/>
    </row>
    <row r="92" spans="1:17" x14ac:dyDescent="0.2">
      <c r="G92" s="16"/>
    </row>
    <row r="93" spans="1:17" x14ac:dyDescent="0.2">
      <c r="G93" s="16"/>
    </row>
    <row r="94" spans="1:17" x14ac:dyDescent="0.2">
      <c r="G94" s="16"/>
    </row>
    <row r="95" spans="1:17" x14ac:dyDescent="0.2">
      <c r="D95" s="16"/>
    </row>
    <row r="98" spans="4:4" x14ac:dyDescent="0.2">
      <c r="D98" s="96"/>
    </row>
  </sheetData>
  <mergeCells count="3">
    <mergeCell ref="A1:E1"/>
    <mergeCell ref="A2:E2"/>
    <mergeCell ref="A7:E7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colBreaks count="1" manualBreakCount="1">
    <brk id="5" max="1048575" man="1"/>
  </col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86"/>
  <sheetViews>
    <sheetView view="pageBreakPreview" topLeftCell="A54" zoomScaleSheetLayoutView="100" workbookViewId="0">
      <selection activeCell="B82" sqref="B82"/>
    </sheetView>
  </sheetViews>
  <sheetFormatPr defaultColWidth="12" defaultRowHeight="12.75" x14ac:dyDescent="0.2"/>
  <cols>
    <col min="1" max="1" width="66.6640625" style="13" customWidth="1"/>
    <col min="2" max="2" width="11.1640625" style="13" bestFit="1" customWidth="1"/>
    <col min="3" max="3" width="5.83203125" style="13" customWidth="1"/>
    <col min="4" max="4" width="14.83203125" style="13" customWidth="1"/>
    <col min="5" max="5" width="12.6640625" style="13" customWidth="1"/>
    <col min="6" max="6" width="14.83203125" style="13" customWidth="1"/>
    <col min="7" max="7" width="17" style="13" customWidth="1"/>
    <col min="8" max="16384" width="12" style="11"/>
  </cols>
  <sheetData>
    <row r="1" spans="1:7" x14ac:dyDescent="0.2">
      <c r="G1" s="11"/>
    </row>
    <row r="2" spans="1:7" x14ac:dyDescent="0.2">
      <c r="A2" s="339" t="s">
        <v>0</v>
      </c>
      <c r="B2" s="339"/>
      <c r="C2" s="339"/>
      <c r="D2" s="339"/>
      <c r="E2" s="339"/>
      <c r="F2" s="72"/>
      <c r="G2" s="11"/>
    </row>
    <row r="3" spans="1:7" x14ac:dyDescent="0.2">
      <c r="A3" s="16"/>
      <c r="B3" s="16"/>
      <c r="C3" s="16"/>
      <c r="D3" s="16"/>
      <c r="E3" s="16"/>
      <c r="F3" s="16"/>
      <c r="G3" s="16"/>
    </row>
    <row r="4" spans="1:7" x14ac:dyDescent="0.2">
      <c r="A4" s="73" t="s">
        <v>446</v>
      </c>
      <c r="B4" s="73"/>
      <c r="C4" s="73"/>
      <c r="D4" s="18"/>
      <c r="E4" s="74"/>
      <c r="F4" s="18"/>
      <c r="G4" s="18"/>
    </row>
    <row r="5" spans="1:7" x14ac:dyDescent="0.2">
      <c r="A5" s="73"/>
      <c r="B5" s="73"/>
      <c r="C5" s="73"/>
      <c r="D5" s="18"/>
      <c r="E5" s="18"/>
      <c r="F5" s="18"/>
      <c r="G5" s="18"/>
    </row>
    <row r="6" spans="1:7" s="36" customFormat="1" x14ac:dyDescent="0.2">
      <c r="A6" s="86" t="s">
        <v>34</v>
      </c>
      <c r="B6" s="86"/>
      <c r="C6" s="86"/>
      <c r="D6" s="18"/>
      <c r="E6" s="18"/>
      <c r="F6" s="18"/>
      <c r="G6" s="18"/>
    </row>
    <row r="7" spans="1:7" x14ac:dyDescent="0.2">
      <c r="A7" s="16"/>
      <c r="B7" s="16"/>
      <c r="C7" s="16"/>
      <c r="D7" s="91" t="s">
        <v>161</v>
      </c>
      <c r="E7" s="92"/>
      <c r="F7" s="91" t="s">
        <v>162</v>
      </c>
      <c r="G7" s="16"/>
    </row>
    <row r="8" spans="1:7" x14ac:dyDescent="0.2">
      <c r="A8" s="76" t="s">
        <v>88</v>
      </c>
      <c r="C8" s="76"/>
      <c r="D8" s="16">
        <v>3</v>
      </c>
      <c r="E8" s="16" t="s">
        <v>35</v>
      </c>
      <c r="F8" s="16">
        <v>3</v>
      </c>
      <c r="G8" s="16" t="s">
        <v>35</v>
      </c>
    </row>
    <row r="9" spans="1:7" x14ac:dyDescent="0.2">
      <c r="A9" s="65" t="s">
        <v>46</v>
      </c>
      <c r="B9" s="65"/>
      <c r="C9" s="65"/>
      <c r="D9" s="16">
        <f>COLETOR!B32</f>
        <v>3512.0801999999999</v>
      </c>
      <c r="E9" s="65" t="s">
        <v>36</v>
      </c>
      <c r="F9" s="16">
        <f>COLETOR!B59</f>
        <v>3820.9422199999999</v>
      </c>
      <c r="G9" s="65" t="s">
        <v>36</v>
      </c>
    </row>
    <row r="10" spans="1:7" x14ac:dyDescent="0.2">
      <c r="A10" s="65" t="s">
        <v>91</v>
      </c>
      <c r="B10" s="65"/>
      <c r="C10" s="65"/>
      <c r="D10" s="16">
        <f>ROUND(+D9*D8,2)</f>
        <v>10536.24</v>
      </c>
      <c r="E10" s="16" t="s">
        <v>37</v>
      </c>
      <c r="F10" s="16">
        <f>ROUND(+F9*F8,2)</f>
        <v>11462.83</v>
      </c>
      <c r="G10" s="16" t="s">
        <v>37</v>
      </c>
    </row>
    <row r="11" spans="1:7" x14ac:dyDescent="0.2">
      <c r="A11" s="65" t="s">
        <v>133</v>
      </c>
      <c r="B11" s="65"/>
      <c r="C11" s="65"/>
      <c r="D11" s="16">
        <f>ROUND((((D8*(D9/220)*1.5)*4*4)+(D8*((D9/220)*2)*8*1)),2)</f>
        <v>1915.68</v>
      </c>
      <c r="E11" s="16" t="s">
        <v>37</v>
      </c>
      <c r="F11" s="16">
        <f>ROUND((((F8*(F9/220)*1.5)*4*4)+(F8*((F9/220)*2)*8*1)),2)</f>
        <v>2084.15</v>
      </c>
      <c r="G11" s="16" t="s">
        <v>37</v>
      </c>
    </row>
    <row r="12" spans="1:7" x14ac:dyDescent="0.2">
      <c r="A12" s="76" t="s">
        <v>92</v>
      </c>
      <c r="B12" s="76"/>
      <c r="C12" s="76"/>
      <c r="D12" s="16">
        <f>ROUND(SUM(D10:D11),2)</f>
        <v>12451.92</v>
      </c>
      <c r="E12" s="16" t="s">
        <v>43</v>
      </c>
      <c r="F12" s="16">
        <f>ROUND(SUM(F10:F11),2)</f>
        <v>13546.98</v>
      </c>
      <c r="G12" s="16" t="s">
        <v>43</v>
      </c>
    </row>
    <row r="13" spans="1:7" x14ac:dyDescent="0.2">
      <c r="A13" s="65"/>
      <c r="B13" s="65"/>
      <c r="C13" s="65"/>
      <c r="D13" s="16"/>
      <c r="E13" s="16"/>
    </row>
    <row r="14" spans="1:7" x14ac:dyDescent="0.2">
      <c r="A14" s="65" t="s">
        <v>38</v>
      </c>
      <c r="B14" s="65"/>
      <c r="C14" s="65"/>
      <c r="D14" s="16">
        <v>1</v>
      </c>
      <c r="E14" s="16" t="s">
        <v>35</v>
      </c>
      <c r="F14" s="16">
        <v>1</v>
      </c>
      <c r="G14" s="16" t="s">
        <v>35</v>
      </c>
    </row>
    <row r="15" spans="1:7" x14ac:dyDescent="0.2">
      <c r="A15" s="16" t="s">
        <v>39</v>
      </c>
      <c r="B15" s="16"/>
      <c r="C15" s="16"/>
      <c r="D15" s="16">
        <f>'ENC I'!B32</f>
        <v>5896.6907724273269</v>
      </c>
      <c r="E15" s="16" t="s">
        <v>36</v>
      </c>
      <c r="F15" s="16">
        <f>'ENC I'!B59</f>
        <v>6317.4516010755824</v>
      </c>
      <c r="G15" s="65" t="s">
        <v>36</v>
      </c>
    </row>
    <row r="16" spans="1:7" x14ac:dyDescent="0.2">
      <c r="A16" s="16" t="s">
        <v>40</v>
      </c>
      <c r="B16" s="16"/>
      <c r="C16" s="16"/>
      <c r="D16" s="16">
        <f>ROUND(+D15*D14,2)</f>
        <v>5896.69</v>
      </c>
      <c r="E16" s="16" t="s">
        <v>37</v>
      </c>
      <c r="F16" s="16">
        <f>ROUND(+F15*F14,2)</f>
        <v>6317.45</v>
      </c>
      <c r="G16" s="16" t="s">
        <v>37</v>
      </c>
    </row>
    <row r="17" spans="1:7" x14ac:dyDescent="0.2">
      <c r="A17" s="65" t="s">
        <v>133</v>
      </c>
      <c r="B17" s="65"/>
      <c r="C17" s="65"/>
      <c r="D17" s="16">
        <f>ROUND((((D14*(D15/220)*1.5)*4*4)+(D14*((D15/220)*2)*8*1)),2)</f>
        <v>1072.1300000000001</v>
      </c>
      <c r="E17" s="16" t="s">
        <v>37</v>
      </c>
      <c r="F17" s="16">
        <f>ROUND((((F14*(F15/220)*1.5)*4*4)+(F14*((F15/220)*2)*8*1)),2)</f>
        <v>1148.6300000000001</v>
      </c>
      <c r="G17" s="16" t="s">
        <v>37</v>
      </c>
    </row>
    <row r="18" spans="1:7" x14ac:dyDescent="0.2">
      <c r="A18" s="16" t="s">
        <v>48</v>
      </c>
      <c r="B18" s="16"/>
      <c r="C18" s="16"/>
      <c r="D18" s="16">
        <f>ROUND(SUM(D16:D17),2)</f>
        <v>6968.82</v>
      </c>
      <c r="E18" s="16" t="s">
        <v>43</v>
      </c>
      <c r="F18" s="16">
        <f>ROUND(SUM(F16:F17),2)</f>
        <v>7466.08</v>
      </c>
      <c r="G18" s="16" t="s">
        <v>43</v>
      </c>
    </row>
    <row r="19" spans="1:7" x14ac:dyDescent="0.2">
      <c r="A19" s="16"/>
      <c r="B19" s="16"/>
      <c r="C19" s="16"/>
      <c r="D19" s="16"/>
      <c r="E19" s="16"/>
      <c r="F19" s="16"/>
    </row>
    <row r="20" spans="1:7" x14ac:dyDescent="0.2">
      <c r="A20" s="65" t="s">
        <v>49</v>
      </c>
      <c r="B20" s="65"/>
      <c r="C20" s="65"/>
      <c r="D20" s="16">
        <v>1</v>
      </c>
      <c r="E20" s="16" t="s">
        <v>35</v>
      </c>
      <c r="F20" s="16">
        <v>1</v>
      </c>
      <c r="G20" s="16" t="s">
        <v>35</v>
      </c>
    </row>
    <row r="21" spans="1:7" x14ac:dyDescent="0.2">
      <c r="A21" s="65" t="s">
        <v>50</v>
      </c>
      <c r="B21" s="65"/>
      <c r="C21" s="65"/>
      <c r="D21" s="16">
        <f>MOTORISTA!B32</f>
        <v>5407.0828585454556</v>
      </c>
      <c r="E21" s="16" t="s">
        <v>36</v>
      </c>
      <c r="F21" s="16">
        <f>MOTORISTA!B58</f>
        <v>6029.6182158636366</v>
      </c>
      <c r="G21" s="65" t="s">
        <v>36</v>
      </c>
    </row>
    <row r="22" spans="1:7" x14ac:dyDescent="0.2">
      <c r="A22" s="65" t="s">
        <v>51</v>
      </c>
      <c r="B22" s="65"/>
      <c r="C22" s="65"/>
      <c r="D22" s="16">
        <f>ROUND(+D21*D20,2)</f>
        <v>5407.08</v>
      </c>
      <c r="E22" s="16" t="s">
        <v>37</v>
      </c>
      <c r="F22" s="16">
        <f>ROUND(+F21*F20,2)</f>
        <v>6029.62</v>
      </c>
      <c r="G22" s="16" t="s">
        <v>37</v>
      </c>
    </row>
    <row r="23" spans="1:7" x14ac:dyDescent="0.2">
      <c r="A23" s="65" t="s">
        <v>133</v>
      </c>
      <c r="B23" s="65"/>
      <c r="C23" s="65"/>
      <c r="D23" s="16">
        <f>ROUND((((D20*(D21/220)*1.5)*4*4)+(D20*((D21/220)*2)*8*1)),2)</f>
        <v>983.11</v>
      </c>
      <c r="E23" s="16" t="s">
        <v>37</v>
      </c>
      <c r="F23" s="16">
        <f>ROUND((((F20*(F21/220)*1.5)*4*4)+(F20*((F21/220)*2)*8*1)),2)</f>
        <v>1096.29</v>
      </c>
      <c r="G23" s="16" t="s">
        <v>37</v>
      </c>
    </row>
    <row r="24" spans="1:7" x14ac:dyDescent="0.2">
      <c r="A24" s="76" t="s">
        <v>52</v>
      </c>
      <c r="B24" s="76"/>
      <c r="C24" s="76"/>
      <c r="D24" s="16">
        <f>ROUND(SUM(D22:D23),2)</f>
        <v>6390.19</v>
      </c>
      <c r="E24" s="16" t="s">
        <v>43</v>
      </c>
      <c r="F24" s="16">
        <f>ROUND(SUM(F22:F23),2)</f>
        <v>7125.91</v>
      </c>
      <c r="G24" s="16" t="s">
        <v>43</v>
      </c>
    </row>
    <row r="25" spans="1:7" x14ac:dyDescent="0.2">
      <c r="A25" s="16"/>
      <c r="B25" s="16"/>
      <c r="C25" s="16"/>
      <c r="D25" s="16"/>
      <c r="E25" s="16"/>
      <c r="G25" s="16"/>
    </row>
    <row r="26" spans="1:7" x14ac:dyDescent="0.2">
      <c r="A26" s="33" t="s">
        <v>189</v>
      </c>
      <c r="B26" s="33"/>
      <c r="C26" s="33"/>
      <c r="D26" s="33">
        <f>D12+F12+D18+F18+D24+F24</f>
        <v>53949.900000000009</v>
      </c>
      <c r="E26" s="33" t="s">
        <v>131</v>
      </c>
      <c r="G26" s="16"/>
    </row>
    <row r="27" spans="1:7" x14ac:dyDescent="0.2">
      <c r="A27" s="16"/>
      <c r="B27" s="16"/>
      <c r="C27" s="16"/>
      <c r="D27" s="16"/>
      <c r="E27" s="16"/>
      <c r="G27" s="16"/>
    </row>
    <row r="28" spans="1:7" x14ac:dyDescent="0.2">
      <c r="A28" s="93" t="s">
        <v>87</v>
      </c>
      <c r="B28" s="81"/>
      <c r="C28" s="81"/>
      <c r="D28" s="18"/>
      <c r="E28" s="16"/>
      <c r="F28" s="16"/>
      <c r="G28" s="16"/>
    </row>
    <row r="29" spans="1:7" hidden="1" x14ac:dyDescent="0.2">
      <c r="A29" s="16"/>
      <c r="B29" s="16"/>
      <c r="C29" s="16"/>
      <c r="D29" s="16"/>
      <c r="E29" s="16"/>
      <c r="F29" s="16"/>
      <c r="G29" s="16"/>
    </row>
    <row r="30" spans="1:7" hidden="1" x14ac:dyDescent="0.2">
      <c r="A30" s="76" t="s">
        <v>295</v>
      </c>
      <c r="B30" s="76"/>
      <c r="C30" s="76"/>
      <c r="D30" s="16"/>
      <c r="E30" s="16" t="s">
        <v>35</v>
      </c>
      <c r="F30" s="16" t="s">
        <v>8</v>
      </c>
      <c r="G30" s="16"/>
    </row>
    <row r="31" spans="1:7" hidden="1" x14ac:dyDescent="0.2">
      <c r="A31" s="16" t="s">
        <v>53</v>
      </c>
      <c r="B31" s="16"/>
      <c r="C31" s="16"/>
      <c r="D31" s="16"/>
      <c r="E31" s="16" t="s">
        <v>36</v>
      </c>
      <c r="F31" s="16"/>
      <c r="G31" s="16"/>
    </row>
    <row r="32" spans="1:7" ht="12.75" hidden="1" customHeight="1" x14ac:dyDescent="0.2">
      <c r="A32" s="65" t="s">
        <v>297</v>
      </c>
      <c r="B32" s="65"/>
      <c r="C32" s="65"/>
      <c r="D32" s="16">
        <f>ROUND(+D31*D30,2)</f>
        <v>0</v>
      </c>
      <c r="E32" s="16" t="s">
        <v>37</v>
      </c>
      <c r="F32" s="16"/>
      <c r="G32" s="16"/>
    </row>
    <row r="33" spans="1:10" ht="12.75" customHeight="1" x14ac:dyDescent="0.2">
      <c r="A33" s="65"/>
      <c r="B33" s="65"/>
      <c r="C33" s="65"/>
      <c r="D33" s="16"/>
      <c r="E33" s="16"/>
      <c r="F33" s="16"/>
      <c r="G33" s="16"/>
    </row>
    <row r="34" spans="1:10" ht="12.75" customHeight="1" x14ac:dyDescent="0.2">
      <c r="A34" s="76" t="s">
        <v>447</v>
      </c>
      <c r="B34" s="76"/>
      <c r="C34" s="76"/>
      <c r="D34" s="16">
        <v>1</v>
      </c>
      <c r="E34" s="16" t="s">
        <v>35</v>
      </c>
      <c r="F34" s="16"/>
      <c r="G34" s="16"/>
    </row>
    <row r="35" spans="1:10" ht="12.75" customHeight="1" x14ac:dyDescent="0.2">
      <c r="A35" s="16" t="s">
        <v>329</v>
      </c>
      <c r="B35" s="16"/>
      <c r="C35" s="16"/>
      <c r="D35" s="16" t="e">
        <f>Cavalo!B61</f>
        <v>#REF!</v>
      </c>
      <c r="E35" s="16" t="s">
        <v>36</v>
      </c>
      <c r="F35" s="16"/>
      <c r="G35" s="16"/>
      <c r="J35" s="11">
        <v>308</v>
      </c>
    </row>
    <row r="36" spans="1:10" x14ac:dyDescent="0.2">
      <c r="A36" s="65" t="s">
        <v>298</v>
      </c>
      <c r="B36" s="65"/>
      <c r="C36" s="65"/>
      <c r="D36" s="16" t="e">
        <f>ROUND(+D35*D34,2)</f>
        <v>#REF!</v>
      </c>
      <c r="E36" s="16" t="s">
        <v>37</v>
      </c>
      <c r="F36" s="16"/>
      <c r="G36" s="16"/>
      <c r="J36" s="11">
        <v>20</v>
      </c>
    </row>
    <row r="37" spans="1:10" x14ac:dyDescent="0.2">
      <c r="A37" s="65"/>
      <c r="B37" s="65"/>
      <c r="C37" s="65"/>
      <c r="D37" s="16"/>
      <c r="E37" s="16"/>
      <c r="F37" s="16"/>
      <c r="G37" s="16"/>
    </row>
    <row r="38" spans="1:10" x14ac:dyDescent="0.2">
      <c r="A38" s="76" t="s">
        <v>448</v>
      </c>
      <c r="B38" s="76"/>
      <c r="C38" s="76"/>
      <c r="D38" s="16">
        <v>2</v>
      </c>
      <c r="E38" s="16" t="s">
        <v>35</v>
      </c>
      <c r="F38" s="16"/>
      <c r="G38" s="16"/>
    </row>
    <row r="39" spans="1:10" x14ac:dyDescent="0.2">
      <c r="A39" s="16" t="s">
        <v>329</v>
      </c>
      <c r="B39" s="16"/>
      <c r="C39" s="16"/>
      <c r="D39" s="16">
        <f>Carreta!B61</f>
        <v>5913.1500000000005</v>
      </c>
      <c r="E39" s="16" t="s">
        <v>36</v>
      </c>
      <c r="F39" s="16"/>
      <c r="G39" s="16"/>
      <c r="J39" s="11">
        <v>308</v>
      </c>
    </row>
    <row r="40" spans="1:10" x14ac:dyDescent="0.2">
      <c r="A40" s="65" t="s">
        <v>298</v>
      </c>
      <c r="B40" s="65"/>
      <c r="C40" s="65"/>
      <c r="D40" s="16">
        <f>ROUND(+D39*D38,2)</f>
        <v>11826.3</v>
      </c>
      <c r="E40" s="16" t="s">
        <v>37</v>
      </c>
      <c r="F40" s="16"/>
      <c r="G40" s="16"/>
      <c r="J40" s="11">
        <v>20</v>
      </c>
    </row>
    <row r="41" spans="1:10" x14ac:dyDescent="0.2">
      <c r="A41" s="16"/>
      <c r="B41" s="16"/>
      <c r="C41" s="16"/>
      <c r="D41" s="16"/>
      <c r="E41" s="16"/>
      <c r="F41" s="16"/>
      <c r="G41" s="16"/>
    </row>
    <row r="42" spans="1:10" x14ac:dyDescent="0.2">
      <c r="A42" s="76" t="s">
        <v>418</v>
      </c>
      <c r="B42" s="76"/>
      <c r="C42" s="76"/>
      <c r="D42" s="16">
        <v>1</v>
      </c>
      <c r="E42" s="16" t="s">
        <v>35</v>
      </c>
      <c r="F42" s="16"/>
      <c r="G42" s="16"/>
    </row>
    <row r="43" spans="1:10" x14ac:dyDescent="0.2">
      <c r="A43" s="16" t="s">
        <v>419</v>
      </c>
      <c r="B43" s="16"/>
      <c r="C43" s="16"/>
      <c r="D43" s="16">
        <f>241.31*(8*26)</f>
        <v>50192.480000000003</v>
      </c>
      <c r="E43" s="16" t="s">
        <v>36</v>
      </c>
      <c r="F43" s="16"/>
      <c r="G43" s="16"/>
    </row>
    <row r="44" spans="1:10" x14ac:dyDescent="0.2">
      <c r="A44" s="76" t="s">
        <v>93</v>
      </c>
      <c r="B44" s="76"/>
      <c r="C44" s="76"/>
      <c r="D44" s="16">
        <f>ROUND(+D43*D42,2)</f>
        <v>50192.480000000003</v>
      </c>
      <c r="E44" s="16" t="s">
        <v>37</v>
      </c>
      <c r="F44" s="16"/>
      <c r="G44" s="16"/>
    </row>
    <row r="45" spans="1:10" x14ac:dyDescent="0.2">
      <c r="A45" s="16"/>
      <c r="B45" s="16"/>
      <c r="C45" s="16"/>
      <c r="D45" s="16"/>
      <c r="E45" s="16"/>
      <c r="F45" s="16"/>
      <c r="G45" s="16"/>
    </row>
    <row r="46" spans="1:10" x14ac:dyDescent="0.2">
      <c r="A46" s="33" t="s">
        <v>196</v>
      </c>
      <c r="B46" s="33"/>
      <c r="C46" s="33"/>
      <c r="D46" s="33" t="e">
        <f>ROUND(D32+D36+D40+D44,2)</f>
        <v>#REF!</v>
      </c>
      <c r="E46" s="33" t="s">
        <v>131</v>
      </c>
      <c r="F46" s="16"/>
      <c r="G46" s="16"/>
    </row>
    <row r="47" spans="1:10" x14ac:dyDescent="0.2">
      <c r="A47" s="16"/>
      <c r="B47" s="16"/>
      <c r="C47" s="16"/>
      <c r="D47" s="16"/>
      <c r="E47" s="16"/>
      <c r="F47" s="16"/>
      <c r="G47" s="16"/>
    </row>
    <row r="48" spans="1:10" x14ac:dyDescent="0.2">
      <c r="A48" s="93" t="s">
        <v>163</v>
      </c>
      <c r="B48" s="81"/>
      <c r="C48" s="81"/>
      <c r="D48" s="82"/>
      <c r="E48" s="16"/>
      <c r="F48" s="16"/>
      <c r="G48" s="11"/>
    </row>
    <row r="49" spans="1:7" x14ac:dyDescent="0.2">
      <c r="A49" s="81"/>
      <c r="B49" s="81"/>
      <c r="C49" s="81"/>
      <c r="D49" s="82"/>
      <c r="E49" s="16"/>
      <c r="F49" s="16"/>
      <c r="G49" s="11"/>
    </row>
    <row r="50" spans="1:7" x14ac:dyDescent="0.2">
      <c r="A50" s="23" t="s">
        <v>113</v>
      </c>
      <c r="B50" s="83">
        <v>3</v>
      </c>
      <c r="C50" s="80" t="s">
        <v>114</v>
      </c>
      <c r="D50" s="16">
        <f>ROUND(B50*[3]PREÇOS!F6,2)</f>
        <v>18</v>
      </c>
      <c r="E50" s="16" t="s">
        <v>37</v>
      </c>
      <c r="F50" s="16"/>
      <c r="G50" s="16"/>
    </row>
    <row r="51" spans="1:7" x14ac:dyDescent="0.2">
      <c r="A51" s="16" t="s">
        <v>98</v>
      </c>
      <c r="B51" s="83">
        <v>3</v>
      </c>
      <c r="C51" s="80" t="s">
        <v>114</v>
      </c>
      <c r="D51" s="16">
        <f>ROUND(B51*[3]PREÇOS!F5,2)</f>
        <v>65</v>
      </c>
      <c r="E51" s="16" t="s">
        <v>37</v>
      </c>
      <c r="F51" s="16"/>
      <c r="G51" s="16"/>
    </row>
    <row r="52" spans="1:7" x14ac:dyDescent="0.2">
      <c r="A52" s="16" t="s">
        <v>100</v>
      </c>
      <c r="B52" s="79">
        <v>3</v>
      </c>
      <c r="C52" s="80" t="s">
        <v>114</v>
      </c>
      <c r="D52" s="16">
        <f>ROUND(B52*[3]PREÇOS!F8,2)</f>
        <v>18</v>
      </c>
      <c r="E52" s="16" t="s">
        <v>37</v>
      </c>
      <c r="F52" s="16"/>
      <c r="G52" s="16"/>
    </row>
    <row r="53" spans="1:7" x14ac:dyDescent="0.2">
      <c r="A53" s="16" t="s">
        <v>118</v>
      </c>
      <c r="B53" s="79">
        <v>3</v>
      </c>
      <c r="C53" s="80" t="s">
        <v>114</v>
      </c>
      <c r="D53" s="16">
        <f>ROUND(B53*[3]PREÇOS!F7,2)</f>
        <v>18</v>
      </c>
      <c r="E53" s="16" t="s">
        <v>37</v>
      </c>
      <c r="F53" s="16"/>
      <c r="G53" s="16"/>
    </row>
    <row r="54" spans="1:7" x14ac:dyDescent="0.2">
      <c r="A54" s="16" t="s">
        <v>102</v>
      </c>
      <c r="B54" s="79"/>
      <c r="C54" s="80" t="s">
        <v>114</v>
      </c>
      <c r="D54" s="16">
        <f>ROUND(B54*[3]PREÇOS!F12,2)</f>
        <v>0</v>
      </c>
      <c r="E54" s="16" t="s">
        <v>37</v>
      </c>
      <c r="F54" s="16"/>
      <c r="G54" s="16"/>
    </row>
    <row r="55" spans="1:7" x14ac:dyDescent="0.2">
      <c r="A55" s="16" t="s">
        <v>126</v>
      </c>
      <c r="B55" s="79"/>
      <c r="C55" s="80" t="s">
        <v>114</v>
      </c>
      <c r="D55" s="16">
        <f>ROUND(B55*[3]PREÇOS!F14,2)</f>
        <v>0</v>
      </c>
      <c r="E55" s="16" t="s">
        <v>37</v>
      </c>
      <c r="F55" s="16"/>
      <c r="G55" s="16"/>
    </row>
    <row r="56" spans="1:7" x14ac:dyDescent="0.2">
      <c r="A56" s="16" t="s">
        <v>120</v>
      </c>
      <c r="B56" s="79">
        <v>3</v>
      </c>
      <c r="C56" s="80" t="s">
        <v>114</v>
      </c>
      <c r="D56" s="16">
        <f>ROUND(B56*[3]PREÇOS!F10,2)</f>
        <v>60</v>
      </c>
      <c r="E56" s="16" t="s">
        <v>37</v>
      </c>
      <c r="F56" s="16"/>
      <c r="G56" s="16"/>
    </row>
    <row r="57" spans="1:7" x14ac:dyDescent="0.2">
      <c r="A57" s="16" t="s">
        <v>224</v>
      </c>
      <c r="B57" s="16"/>
      <c r="C57" s="16"/>
      <c r="D57" s="16">
        <f>ROUND(SUM(D50:D56),2)</f>
        <v>179</v>
      </c>
      <c r="E57" s="16" t="s">
        <v>71</v>
      </c>
      <c r="F57" s="16"/>
      <c r="G57" s="16"/>
    </row>
    <row r="58" spans="1:7" hidden="1" x14ac:dyDescent="0.2">
      <c r="A58" s="16" t="s">
        <v>72</v>
      </c>
      <c r="B58" s="16"/>
      <c r="C58" s="16"/>
      <c r="D58" s="85"/>
      <c r="E58" s="16"/>
      <c r="F58" s="16"/>
      <c r="G58" s="16"/>
    </row>
    <row r="59" spans="1:7" hidden="1" x14ac:dyDescent="0.2">
      <c r="A59" s="16" t="s">
        <v>57</v>
      </c>
      <c r="B59" s="16"/>
      <c r="C59" s="16"/>
      <c r="D59" s="16" t="e">
        <f>ROUND(D58*#REF!,2)</f>
        <v>#REF!</v>
      </c>
      <c r="E59" s="16" t="s">
        <v>71</v>
      </c>
      <c r="F59" s="16"/>
      <c r="G59" s="16"/>
    </row>
    <row r="60" spans="1:7" hidden="1" x14ac:dyDescent="0.2">
      <c r="A60" s="16"/>
      <c r="B60" s="79"/>
      <c r="C60" s="80"/>
      <c r="D60" s="16"/>
      <c r="E60" s="16"/>
      <c r="F60" s="16"/>
      <c r="G60" s="16"/>
    </row>
    <row r="61" spans="1:7" x14ac:dyDescent="0.2">
      <c r="A61" s="16"/>
      <c r="B61" s="16"/>
      <c r="C61" s="16"/>
      <c r="D61" s="16"/>
      <c r="E61" s="16"/>
      <c r="F61" s="16"/>
      <c r="G61" s="16"/>
    </row>
    <row r="62" spans="1:7" x14ac:dyDescent="0.2">
      <c r="A62" s="33" t="s">
        <v>197</v>
      </c>
      <c r="B62" s="33"/>
      <c r="C62" s="33"/>
      <c r="D62" s="33">
        <f>D57</f>
        <v>179</v>
      </c>
      <c r="E62" s="33" t="s">
        <v>131</v>
      </c>
      <c r="F62" s="16"/>
      <c r="G62" s="16"/>
    </row>
    <row r="63" spans="1:7" x14ac:dyDescent="0.2">
      <c r="A63" s="16"/>
      <c r="B63" s="16"/>
      <c r="C63" s="16"/>
      <c r="D63" s="16"/>
      <c r="E63" s="16"/>
      <c r="F63" s="16"/>
      <c r="G63" s="16"/>
    </row>
    <row r="64" spans="1:7" x14ac:dyDescent="0.2">
      <c r="A64" s="77" t="s">
        <v>66</v>
      </c>
      <c r="B64" s="78"/>
      <c r="C64" s="78"/>
      <c r="D64" s="75"/>
      <c r="E64" s="75"/>
      <c r="F64" s="16"/>
      <c r="G64" s="16"/>
    </row>
    <row r="65" spans="1:19" x14ac:dyDescent="0.2">
      <c r="A65" s="94"/>
      <c r="B65" s="94"/>
      <c r="C65" s="94"/>
      <c r="D65" s="16"/>
      <c r="E65" s="16"/>
      <c r="F65" s="16"/>
      <c r="G65" s="16"/>
    </row>
    <row r="66" spans="1:19" x14ac:dyDescent="0.2">
      <c r="A66" s="16" t="s">
        <v>68</v>
      </c>
      <c r="B66" s="16"/>
      <c r="C66" s="16"/>
      <c r="D66" s="16">
        <f>+D26</f>
        <v>53949.900000000009</v>
      </c>
      <c r="E66" s="16" t="s">
        <v>37</v>
      </c>
      <c r="F66" s="16"/>
      <c r="G66" s="16"/>
      <c r="I66" s="63" t="e">
        <f>(D66/$D$71)*100</f>
        <v>#REF!</v>
      </c>
    </row>
    <row r="67" spans="1:19" x14ac:dyDescent="0.2">
      <c r="A67" s="16" t="s">
        <v>58</v>
      </c>
      <c r="B67" s="16"/>
      <c r="C67" s="16"/>
      <c r="D67" s="16" t="e">
        <f>D46</f>
        <v>#REF!</v>
      </c>
      <c r="E67" s="16" t="s">
        <v>37</v>
      </c>
      <c r="F67" s="16"/>
      <c r="G67" s="16"/>
      <c r="I67" s="63" t="e">
        <f>(D67/$D$71)*100</f>
        <v>#REF!</v>
      </c>
    </row>
    <row r="68" spans="1:19" x14ac:dyDescent="0.2">
      <c r="A68" s="16" t="s">
        <v>67</v>
      </c>
      <c r="B68" s="16"/>
      <c r="C68" s="16"/>
      <c r="D68" s="16">
        <f>D62</f>
        <v>179</v>
      </c>
      <c r="E68" s="16" t="s">
        <v>37</v>
      </c>
      <c r="F68" s="16"/>
      <c r="G68" s="16"/>
      <c r="I68" s="63" t="e">
        <f>(D68/$D$71)*100</f>
        <v>#REF!</v>
      </c>
    </row>
    <row r="69" spans="1:19" x14ac:dyDescent="0.2">
      <c r="A69" s="16" t="s">
        <v>440</v>
      </c>
      <c r="B69" s="204">
        <v>0</v>
      </c>
      <c r="C69" s="16"/>
      <c r="D69" s="16">
        <f>B69*'Adm1'!C166</f>
        <v>0</v>
      </c>
      <c r="E69" s="16" t="s">
        <v>37</v>
      </c>
      <c r="F69" s="16"/>
      <c r="G69" s="16"/>
      <c r="I69" s="63"/>
    </row>
    <row r="70" spans="1:19" x14ac:dyDescent="0.2">
      <c r="A70" s="16"/>
      <c r="B70" s="16"/>
      <c r="C70" s="16"/>
      <c r="D70" s="16"/>
      <c r="E70" s="16"/>
      <c r="F70" s="16"/>
      <c r="G70" s="16"/>
    </row>
    <row r="71" spans="1:19" x14ac:dyDescent="0.2">
      <c r="A71" s="33" t="s">
        <v>193</v>
      </c>
      <c r="B71" s="33"/>
      <c r="C71" s="33"/>
      <c r="D71" s="33" t="e">
        <f>ROUND(SUM(D66:D69),2)</f>
        <v>#REF!</v>
      </c>
      <c r="E71" s="33" t="s">
        <v>131</v>
      </c>
      <c r="F71" s="16"/>
      <c r="G71" s="16"/>
      <c r="J71" s="11" t="e">
        <f>59562/#REF!</f>
        <v>#REF!</v>
      </c>
    </row>
    <row r="72" spans="1:19" x14ac:dyDescent="0.2">
      <c r="A72" s="16"/>
      <c r="B72" s="16"/>
      <c r="C72" s="16"/>
      <c r="D72" s="16" t="s">
        <v>8</v>
      </c>
      <c r="E72" s="16"/>
      <c r="F72" s="16"/>
      <c r="G72" s="16"/>
    </row>
    <row r="73" spans="1:19" s="103" customFormat="1" x14ac:dyDescent="0.2">
      <c r="A73" s="122" t="s">
        <v>391</v>
      </c>
      <c r="B73" s="176">
        <f>BDI!C12/100</f>
        <v>0.29712344612244879</v>
      </c>
      <c r="C73" s="122"/>
      <c r="D73" s="165" t="e">
        <f>D75-D71</f>
        <v>#REF!</v>
      </c>
      <c r="E73" s="122" t="s">
        <v>131</v>
      </c>
      <c r="F73" s="16"/>
      <c r="G73" s="16"/>
      <c r="H73" s="165"/>
      <c r="I73" s="122"/>
      <c r="J73" s="40"/>
      <c r="K73" s="69">
        <f>[4]BDI!C30</f>
        <v>0</v>
      </c>
      <c r="Q73" s="174"/>
      <c r="S73" s="146"/>
    </row>
    <row r="74" spans="1:19" x14ac:dyDescent="0.2">
      <c r="A74" s="16"/>
      <c r="B74" s="16"/>
      <c r="C74" s="16"/>
      <c r="D74" s="16"/>
      <c r="E74" s="16"/>
      <c r="F74" s="16"/>
      <c r="G74" s="16"/>
      <c r="H74" s="153"/>
      <c r="I74" s="154"/>
      <c r="J74" s="16"/>
    </row>
    <row r="75" spans="1:19" x14ac:dyDescent="0.2">
      <c r="A75" s="87" t="s">
        <v>392</v>
      </c>
      <c r="B75" s="90"/>
      <c r="C75" s="90"/>
      <c r="D75" s="33" t="e">
        <f>D71*BDI!C20</f>
        <v>#REF!</v>
      </c>
      <c r="E75" s="33" t="s">
        <v>37</v>
      </c>
      <c r="F75" s="16"/>
      <c r="G75" s="16"/>
      <c r="H75" s="152"/>
      <c r="I75" s="151"/>
      <c r="J75" s="16"/>
      <c r="K75" s="89">
        <f>1-[5]Plan1!$A$17</f>
        <v>0.91349999999999998</v>
      </c>
      <c r="L75" s="11">
        <f>20*30</f>
        <v>600</v>
      </c>
      <c r="M75" s="11">
        <f>10*30</f>
        <v>300</v>
      </c>
      <c r="O75" s="11">
        <f>110*9</f>
        <v>990</v>
      </c>
    </row>
    <row r="76" spans="1:19" ht="12.75" customHeight="1" x14ac:dyDescent="0.2">
      <c r="A76" s="88" t="s">
        <v>393</v>
      </c>
      <c r="B76" s="33"/>
      <c r="C76" s="33"/>
      <c r="D76" s="33">
        <f>DOMICILIAR!D107</f>
        <v>2338.1634471124435</v>
      </c>
      <c r="E76" s="33" t="s">
        <v>230</v>
      </c>
      <c r="F76" s="16"/>
      <c r="G76" s="16"/>
      <c r="H76" s="16">
        <f>((84000*0.52)*26)/1000</f>
        <v>1135.68</v>
      </c>
      <c r="I76" s="16"/>
    </row>
    <row r="77" spans="1:19" ht="14.25" customHeight="1" x14ac:dyDescent="0.2">
      <c r="A77" s="88" t="s">
        <v>310</v>
      </c>
      <c r="B77" s="33"/>
      <c r="C77" s="33"/>
      <c r="D77" s="33" t="e">
        <f>ROUND(D75/D76,2)</f>
        <v>#REF!</v>
      </c>
      <c r="E77" s="90" t="s">
        <v>225</v>
      </c>
      <c r="F77" s="165"/>
      <c r="G77" s="122"/>
      <c r="H77" s="63" t="e">
        <f>#REF!/H76</f>
        <v>#REF!</v>
      </c>
      <c r="I77" s="16"/>
    </row>
    <row r="78" spans="1:19" x14ac:dyDescent="0.2">
      <c r="A78" s="16"/>
      <c r="B78" s="16"/>
      <c r="C78" s="16"/>
      <c r="D78" s="16"/>
      <c r="E78" s="16"/>
      <c r="F78" s="16"/>
      <c r="G78" s="16"/>
    </row>
    <row r="79" spans="1:19" x14ac:dyDescent="0.2">
      <c r="A79" s="95"/>
      <c r="B79" s="95"/>
      <c r="C79" s="95"/>
      <c r="G79" s="16"/>
    </row>
    <row r="80" spans="1:19" x14ac:dyDescent="0.2">
      <c r="D80" s="16"/>
      <c r="G80" s="16"/>
    </row>
    <row r="81" spans="4:7" x14ac:dyDescent="0.2">
      <c r="G81" s="16"/>
    </row>
    <row r="82" spans="4:7" x14ac:dyDescent="0.2">
      <c r="D82" s="16" t="e">
        <f>#REF!-D71</f>
        <v>#REF!</v>
      </c>
    </row>
    <row r="83" spans="4:7" x14ac:dyDescent="0.2">
      <c r="D83" s="13" t="e">
        <f>D82/D71</f>
        <v>#REF!</v>
      </c>
    </row>
    <row r="85" spans="4:7" x14ac:dyDescent="0.2">
      <c r="D85" s="96" t="e">
        <f>#REF!-#REF!</f>
        <v>#REF!</v>
      </c>
    </row>
    <row r="86" spans="4:7" x14ac:dyDescent="0.2">
      <c r="D86" s="96"/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72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view="pageBreakPreview" topLeftCell="A7" zoomScaleNormal="100" zoomScaleSheetLayoutView="100" workbookViewId="0">
      <selection activeCell="D21" sqref="D21"/>
    </sheetView>
  </sheetViews>
  <sheetFormatPr defaultColWidth="9.33203125" defaultRowHeight="32.1" customHeight="1" x14ac:dyDescent="0.2"/>
  <cols>
    <col min="1" max="1" width="41.6640625" style="185" customWidth="1"/>
    <col min="2" max="2" width="9.33203125" style="192"/>
    <col min="3" max="3" width="18.33203125" style="191" hidden="1" customWidth="1"/>
    <col min="4" max="4" width="18.33203125" style="191" customWidth="1"/>
    <col min="5" max="5" width="18.33203125" style="191" hidden="1" customWidth="1"/>
    <col min="6" max="16384" width="9.33203125" style="185"/>
  </cols>
  <sheetData>
    <row r="1" spans="1:12" ht="32.1" customHeight="1" x14ac:dyDescent="0.2">
      <c r="A1" s="316"/>
    </row>
    <row r="2" spans="1:12" ht="32.1" customHeight="1" x14ac:dyDescent="0.2">
      <c r="A2" s="316"/>
    </row>
    <row r="3" spans="1:12" s="198" customFormat="1" ht="45" customHeight="1" x14ac:dyDescent="0.2">
      <c r="A3" s="196" t="s">
        <v>96</v>
      </c>
      <c r="B3" s="196" t="s">
        <v>420</v>
      </c>
      <c r="C3" s="197" t="s">
        <v>421</v>
      </c>
      <c r="D3" s="197" t="s">
        <v>669</v>
      </c>
      <c r="E3" s="197" t="s">
        <v>422</v>
      </c>
      <c r="J3" s="198">
        <f>(1212-1100)/1100</f>
        <v>0.10181818181818182</v>
      </c>
      <c r="L3" s="317">
        <f>J3/2</f>
        <v>5.0909090909090911E-2</v>
      </c>
    </row>
    <row r="4" spans="1:12" ht="32.1" customHeight="1" x14ac:dyDescent="0.2">
      <c r="A4" s="199" t="s">
        <v>423</v>
      </c>
      <c r="B4" s="200" t="s">
        <v>37</v>
      </c>
      <c r="C4" s="201">
        <v>678</v>
      </c>
      <c r="D4" s="201">
        <v>1212</v>
      </c>
      <c r="E4" s="201">
        <f t="shared" ref="E4:E10" si="0">((D4-C4)/C4)*100</f>
        <v>78.761061946902657</v>
      </c>
      <c r="J4" s="185">
        <f>(998-954)/954</f>
        <v>4.6121593291404611E-2</v>
      </c>
      <c r="L4" s="318">
        <f>1+L3</f>
        <v>1.050909090909091</v>
      </c>
    </row>
    <row r="5" spans="1:12" ht="32.1" customHeight="1" x14ac:dyDescent="0.2">
      <c r="A5" s="199" t="s">
        <v>424</v>
      </c>
      <c r="B5" s="200" t="s">
        <v>37</v>
      </c>
      <c r="C5" s="201">
        <v>693.51</v>
      </c>
      <c r="D5" s="201">
        <v>1221.6199999999999</v>
      </c>
      <c r="E5" s="201">
        <f t="shared" si="0"/>
        <v>76.150307854248666</v>
      </c>
      <c r="H5" s="185">
        <v>880</v>
      </c>
      <c r="J5" s="185">
        <f>6.58/100</f>
        <v>6.5799999999999997E-2</v>
      </c>
    </row>
    <row r="6" spans="1:12" ht="32.1" customHeight="1" x14ac:dyDescent="0.2">
      <c r="A6" s="199" t="s">
        <v>464</v>
      </c>
      <c r="B6" s="200" t="s">
        <v>37</v>
      </c>
      <c r="C6" s="201">
        <f>1012*1.08</f>
        <v>1092.96</v>
      </c>
      <c r="D6" s="201">
        <f>2277.27*(1+J3)</f>
        <v>2509.137490909091</v>
      </c>
      <c r="E6" s="201">
        <f t="shared" si="0"/>
        <v>129.57267337405679</v>
      </c>
    </row>
    <row r="7" spans="1:12" ht="32.1" customHeight="1" x14ac:dyDescent="0.2">
      <c r="A7" s="199" t="s">
        <v>425</v>
      </c>
      <c r="B7" s="200" t="s">
        <v>37</v>
      </c>
      <c r="C7" s="201">
        <v>980</v>
      </c>
      <c r="D7" s="201">
        <f>(((((1600*1.1128)*(1+J5))*(1+J7))*(1+J7))*1.0393)*(1+J3)</f>
        <v>2324.6454621450603</v>
      </c>
      <c r="E7" s="201">
        <f t="shared" si="0"/>
        <v>137.20872062704697</v>
      </c>
      <c r="J7" s="185">
        <f>3.43/100</f>
        <v>3.4300000000000004E-2</v>
      </c>
    </row>
    <row r="8" spans="1:12" ht="32.1" customHeight="1" x14ac:dyDescent="0.2">
      <c r="A8" s="199" t="s">
        <v>426</v>
      </c>
      <c r="B8" s="200" t="s">
        <v>37</v>
      </c>
      <c r="C8" s="201">
        <v>950</v>
      </c>
      <c r="D8" s="201">
        <f>((((1360*1.1128)*(1+J5))*(1+J7))*(1+J7))*1.0393*(1+J3)</f>
        <v>1975.9486428233013</v>
      </c>
      <c r="E8" s="201">
        <f t="shared" si="0"/>
        <v>107.99459398140014</v>
      </c>
      <c r="J8" s="185">
        <f>1.81/100</f>
        <v>1.8100000000000002E-2</v>
      </c>
    </row>
    <row r="9" spans="1:12" ht="32.1" customHeight="1" x14ac:dyDescent="0.2">
      <c r="A9" s="199" t="s">
        <v>427</v>
      </c>
      <c r="B9" s="200" t="s">
        <v>37</v>
      </c>
      <c r="C9" s="201">
        <v>710</v>
      </c>
      <c r="D9" s="201">
        <f>1203.71*(1+J3)</f>
        <v>1326.2695636363637</v>
      </c>
      <c r="E9" s="201">
        <f t="shared" si="0"/>
        <v>86.798530089628684</v>
      </c>
    </row>
    <row r="10" spans="1:12" ht="32.1" customHeight="1" x14ac:dyDescent="0.2">
      <c r="A10" s="199" t="s">
        <v>428</v>
      </c>
      <c r="B10" s="200" t="s">
        <v>37</v>
      </c>
      <c r="C10" s="201">
        <v>2800</v>
      </c>
      <c r="D10" s="201">
        <v>4500</v>
      </c>
      <c r="E10" s="201">
        <f t="shared" si="0"/>
        <v>60.714285714285708</v>
      </c>
    </row>
    <row r="11" spans="1:12" ht="32.1" hidden="1" customHeight="1" x14ac:dyDescent="0.2">
      <c r="A11" s="199"/>
      <c r="B11" s="200"/>
      <c r="C11" s="201"/>
      <c r="D11" s="201"/>
      <c r="E11" s="201"/>
    </row>
    <row r="12" spans="1:12" ht="32.1" hidden="1" customHeight="1" x14ac:dyDescent="0.2">
      <c r="A12" s="199" t="s">
        <v>429</v>
      </c>
      <c r="B12" s="200"/>
      <c r="C12" s="201"/>
      <c r="D12" s="202">
        <v>0.4</v>
      </c>
      <c r="E12" s="201"/>
    </row>
    <row r="13" spans="1:12" ht="32.1" hidden="1" customHeight="1" x14ac:dyDescent="0.2">
      <c r="A13" s="199" t="s">
        <v>430</v>
      </c>
      <c r="B13" s="200"/>
      <c r="C13" s="201"/>
      <c r="D13" s="202">
        <v>0.2</v>
      </c>
      <c r="E13" s="201"/>
    </row>
    <row r="14" spans="1:12" ht="32.1" hidden="1" customHeight="1" x14ac:dyDescent="0.2">
      <c r="A14" s="199" t="s">
        <v>431</v>
      </c>
      <c r="B14" s="200"/>
      <c r="C14" s="201"/>
      <c r="D14" s="202">
        <v>0.82530000000000003</v>
      </c>
      <c r="E14" s="201"/>
    </row>
    <row r="15" spans="1:12" ht="32.1" hidden="1" customHeight="1" x14ac:dyDescent="0.2">
      <c r="A15" s="199" t="s">
        <v>432</v>
      </c>
      <c r="B15" s="200"/>
      <c r="C15" s="201"/>
      <c r="D15" s="202">
        <v>0.2</v>
      </c>
      <c r="E15" s="201"/>
    </row>
    <row r="16" spans="1:12" ht="32.1" hidden="1" customHeight="1" x14ac:dyDescent="0.2">
      <c r="A16" s="199" t="s">
        <v>433</v>
      </c>
      <c r="B16" s="200"/>
      <c r="C16" s="201"/>
      <c r="D16" s="201"/>
      <c r="E16" s="201"/>
    </row>
    <row r="17" spans="1:5" ht="32.1" hidden="1" customHeight="1" x14ac:dyDescent="0.2">
      <c r="A17" s="199" t="s">
        <v>434</v>
      </c>
      <c r="B17" s="200"/>
      <c r="C17" s="201"/>
      <c r="D17" s="201"/>
      <c r="E17" s="201"/>
    </row>
    <row r="18" spans="1:5" ht="32.1" customHeight="1" x14ac:dyDescent="0.2">
      <c r="A18" s="199" t="s">
        <v>435</v>
      </c>
      <c r="B18" s="200" t="s">
        <v>37</v>
      </c>
      <c r="C18" s="201">
        <v>5.09</v>
      </c>
      <c r="D18" s="201">
        <v>302.39999999999998</v>
      </c>
      <c r="E18" s="201">
        <f>((D18-C18)/C18)*100</f>
        <v>5841.0609037328095</v>
      </c>
    </row>
    <row r="19" spans="1:5" ht="32.1" customHeight="1" x14ac:dyDescent="0.2">
      <c r="A19" s="199" t="s">
        <v>436</v>
      </c>
      <c r="B19" s="200" t="s">
        <v>37</v>
      </c>
      <c r="C19" s="201">
        <v>5.09</v>
      </c>
      <c r="D19" s="201">
        <f>+D18</f>
        <v>302.39999999999998</v>
      </c>
      <c r="E19" s="201">
        <f>((D19-C19)/C19)*100</f>
        <v>5841.0609037328095</v>
      </c>
    </row>
    <row r="20" spans="1:5" ht="32.1" customHeight="1" x14ac:dyDescent="0.2">
      <c r="A20" s="199" t="s">
        <v>466</v>
      </c>
      <c r="B20" s="200" t="s">
        <v>213</v>
      </c>
      <c r="C20" s="201">
        <v>2.89</v>
      </c>
      <c r="D20" s="319">
        <v>7.2439999999999998</v>
      </c>
      <c r="E20" s="201">
        <f>((D20-C20)/C20)*100</f>
        <v>150.65743944636677</v>
      </c>
    </row>
    <row r="21" spans="1:5" ht="32.1" customHeight="1" x14ac:dyDescent="0.2">
      <c r="A21" s="203" t="s">
        <v>467</v>
      </c>
      <c r="B21" s="200" t="s">
        <v>213</v>
      </c>
      <c r="C21" s="201">
        <v>2.2000000000000002</v>
      </c>
      <c r="D21" s="319">
        <v>6.5910000000000002</v>
      </c>
      <c r="E21" s="201">
        <f>((D21-C21)/C21)*100</f>
        <v>199.59090909090909</v>
      </c>
    </row>
    <row r="22" spans="1:5" ht="32.1" customHeight="1" x14ac:dyDescent="0.2">
      <c r="A22" s="185" t="s">
        <v>670</v>
      </c>
    </row>
    <row r="23" spans="1:5" ht="32.1" customHeight="1" x14ac:dyDescent="0.2">
      <c r="A23" s="337" t="s">
        <v>671</v>
      </c>
      <c r="B23" s="337"/>
      <c r="C23" s="337"/>
      <c r="D23" s="337"/>
    </row>
    <row r="24" spans="1:5" ht="40.15" customHeight="1" x14ac:dyDescent="0.2">
      <c r="A24" s="185" t="s">
        <v>465</v>
      </c>
      <c r="B24" s="315"/>
      <c r="C24" s="315"/>
      <c r="D24" s="315"/>
      <c r="E24" s="315"/>
    </row>
  </sheetData>
  <mergeCells count="1">
    <mergeCell ref="A23:D23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122"/>
  <sheetViews>
    <sheetView view="pageBreakPreview" topLeftCell="A78" zoomScaleNormal="100" zoomScaleSheetLayoutView="100" workbookViewId="0">
      <selection activeCell="A43" sqref="A43:XFD46"/>
    </sheetView>
  </sheetViews>
  <sheetFormatPr defaultColWidth="12" defaultRowHeight="12.75" x14ac:dyDescent="0.2"/>
  <cols>
    <col min="1" max="1" width="50.83203125" style="13" customWidth="1"/>
    <col min="2" max="2" width="10.83203125" style="13" customWidth="1"/>
    <col min="3" max="3" width="5.83203125" style="13" customWidth="1"/>
    <col min="4" max="4" width="14.83203125" style="13" customWidth="1"/>
    <col min="5" max="5" width="10.83203125" style="13" customWidth="1"/>
    <col min="6" max="6" width="14.83203125" style="13" customWidth="1"/>
    <col min="7" max="7" width="12.6640625" style="13" customWidth="1"/>
    <col min="8" max="16384" width="12" style="11"/>
  </cols>
  <sheetData>
    <row r="1" spans="1:7" ht="18.75" hidden="1" x14ac:dyDescent="0.3">
      <c r="A1" s="338" t="s">
        <v>226</v>
      </c>
      <c r="B1" s="338"/>
      <c r="C1" s="338"/>
      <c r="D1" s="338"/>
      <c r="E1" s="338"/>
      <c r="F1" s="10"/>
      <c r="G1" s="11"/>
    </row>
    <row r="2" spans="1:7" ht="18" hidden="1" customHeight="1" x14ac:dyDescent="0.25">
      <c r="A2" s="338"/>
      <c r="B2" s="338"/>
      <c r="C2" s="338"/>
      <c r="D2" s="338"/>
      <c r="E2" s="338"/>
      <c r="F2" s="12"/>
      <c r="G2" s="11"/>
    </row>
    <row r="3" spans="1:7" hidden="1" x14ac:dyDescent="0.2">
      <c r="G3" s="11"/>
    </row>
    <row r="4" spans="1:7" hidden="1" x14ac:dyDescent="0.2">
      <c r="G4" s="11"/>
    </row>
    <row r="5" spans="1:7" hidden="1" x14ac:dyDescent="0.2">
      <c r="A5" s="295" t="s">
        <v>228</v>
      </c>
      <c r="D5" s="295" t="s">
        <v>222</v>
      </c>
      <c r="G5" s="11"/>
    </row>
    <row r="6" spans="1:7" x14ac:dyDescent="0.2">
      <c r="G6" s="11"/>
    </row>
    <row r="7" spans="1:7" x14ac:dyDescent="0.2">
      <c r="A7" s="339" t="s">
        <v>0</v>
      </c>
      <c r="B7" s="339"/>
      <c r="C7" s="339"/>
      <c r="D7" s="339"/>
      <c r="E7" s="339"/>
      <c r="F7" s="72"/>
      <c r="G7" s="11"/>
    </row>
    <row r="8" spans="1:7" x14ac:dyDescent="0.2">
      <c r="A8" s="16"/>
      <c r="B8" s="16"/>
      <c r="C8" s="16"/>
      <c r="D8" s="16"/>
      <c r="E8" s="16"/>
      <c r="F8" s="16"/>
      <c r="G8" s="16"/>
    </row>
    <row r="9" spans="1:7" x14ac:dyDescent="0.2">
      <c r="A9" s="73" t="s">
        <v>672</v>
      </c>
      <c r="B9" s="73"/>
      <c r="C9" s="73"/>
      <c r="D9" s="18"/>
      <c r="E9" s="74"/>
      <c r="F9" s="18"/>
      <c r="G9" s="18"/>
    </row>
    <row r="10" spans="1:7" x14ac:dyDescent="0.2">
      <c r="A10" s="73"/>
      <c r="B10" s="73"/>
      <c r="C10" s="73"/>
      <c r="D10" s="18"/>
      <c r="E10" s="18"/>
      <c r="F10" s="18"/>
      <c r="G10" s="18"/>
    </row>
    <row r="11" spans="1:7" s="36" customFormat="1" x14ac:dyDescent="0.2">
      <c r="A11" s="86" t="s">
        <v>34</v>
      </c>
      <c r="B11" s="86"/>
      <c r="C11" s="86"/>
      <c r="D11" s="18"/>
      <c r="E11" s="18"/>
      <c r="F11" s="18"/>
      <c r="G11" s="18"/>
    </row>
    <row r="12" spans="1:7" x14ac:dyDescent="0.2">
      <c r="A12" s="16"/>
      <c r="B12" s="16"/>
      <c r="C12" s="16"/>
      <c r="D12" s="91" t="s">
        <v>161</v>
      </c>
      <c r="E12" s="92"/>
      <c r="F12" s="91" t="s">
        <v>162</v>
      </c>
      <c r="G12" s="16"/>
    </row>
    <row r="13" spans="1:7" x14ac:dyDescent="0.2">
      <c r="A13" s="76" t="s">
        <v>88</v>
      </c>
      <c r="C13" s="76"/>
      <c r="D13" s="16"/>
      <c r="E13" s="16" t="s">
        <v>35</v>
      </c>
      <c r="F13" s="16"/>
      <c r="G13" s="16" t="s">
        <v>35</v>
      </c>
    </row>
    <row r="14" spans="1:7" x14ac:dyDescent="0.2">
      <c r="A14" s="76" t="s">
        <v>482</v>
      </c>
      <c r="B14" s="65"/>
      <c r="C14" s="65"/>
      <c r="D14" s="16">
        <f>COLETOR!B32</f>
        <v>3512.0801999999999</v>
      </c>
      <c r="E14" s="65" t="s">
        <v>36</v>
      </c>
      <c r="F14" s="16">
        <f>+COLETOR!B59</f>
        <v>3820.9422199999999</v>
      </c>
      <c r="G14" s="65" t="s">
        <v>36</v>
      </c>
    </row>
    <row r="15" spans="1:7" x14ac:dyDescent="0.2">
      <c r="A15" s="76" t="s">
        <v>483</v>
      </c>
      <c r="B15" s="65"/>
      <c r="C15" s="65"/>
      <c r="D15" s="16">
        <f>ROUND(+D14*D13,2)</f>
        <v>0</v>
      </c>
      <c r="E15" s="16" t="s">
        <v>37</v>
      </c>
      <c r="F15" s="16">
        <f>ROUND(+F14*F13,2)</f>
        <v>0</v>
      </c>
      <c r="G15" s="16" t="s">
        <v>37</v>
      </c>
    </row>
    <row r="16" spans="1:7" x14ac:dyDescent="0.2">
      <c r="A16" s="121" t="s">
        <v>481</v>
      </c>
      <c r="B16" s="65"/>
      <c r="C16" s="65"/>
      <c r="D16" s="16">
        <f>ROUND((((D13*(D14/220)*1.5)*4*4)+(D13*((D14/220)*2)*8*1)),2)</f>
        <v>0</v>
      </c>
      <c r="E16" s="16" t="s">
        <v>37</v>
      </c>
      <c r="F16" s="16">
        <f>ROUND(((F13*(D14/220)*1.5)*4*4)+(F13*((F14/220)*2)*8*1),2)</f>
        <v>0</v>
      </c>
      <c r="G16" s="16" t="s">
        <v>37</v>
      </c>
    </row>
    <row r="17" spans="1:7" x14ac:dyDescent="0.2">
      <c r="A17" s="76" t="s">
        <v>92</v>
      </c>
      <c r="B17" s="76"/>
      <c r="C17" s="76"/>
      <c r="D17" s="16">
        <f>ROUND(SUM(D15:D16),2)</f>
        <v>0</v>
      </c>
      <c r="E17" s="16" t="s">
        <v>43</v>
      </c>
      <c r="F17" s="16">
        <f>ROUND(SUM(F15:F16),2)</f>
        <v>0</v>
      </c>
      <c r="G17" s="16" t="s">
        <v>43</v>
      </c>
    </row>
    <row r="18" spans="1:7" x14ac:dyDescent="0.2">
      <c r="A18" s="65"/>
      <c r="B18" s="65"/>
      <c r="C18" s="65"/>
      <c r="D18" s="16"/>
      <c r="E18" s="16"/>
    </row>
    <row r="19" spans="1:7" x14ac:dyDescent="0.2">
      <c r="A19" s="65" t="s">
        <v>38</v>
      </c>
      <c r="B19" s="65"/>
      <c r="C19" s="65"/>
      <c r="D19" s="16"/>
      <c r="E19" s="16" t="s">
        <v>35</v>
      </c>
      <c r="F19" s="16"/>
      <c r="G19" s="16" t="s">
        <v>35</v>
      </c>
    </row>
    <row r="20" spans="1:7" x14ac:dyDescent="0.2">
      <c r="A20" s="16" t="s">
        <v>321</v>
      </c>
      <c r="B20" s="16"/>
      <c r="C20" s="16"/>
      <c r="D20" s="16">
        <f>'ENC I'!B32</f>
        <v>5896.6907724273269</v>
      </c>
      <c r="E20" s="16" t="s">
        <v>36</v>
      </c>
      <c r="F20" s="16">
        <f>'ENC I'!B59</f>
        <v>6317.4516010755824</v>
      </c>
      <c r="G20" s="65" t="s">
        <v>36</v>
      </c>
    </row>
    <row r="21" spans="1:7" x14ac:dyDescent="0.2">
      <c r="A21" s="16" t="s">
        <v>320</v>
      </c>
      <c r="B21" s="16"/>
      <c r="C21" s="16"/>
      <c r="D21" s="16">
        <f>ROUND(+D20*D19,2)</f>
        <v>0</v>
      </c>
      <c r="E21" s="16" t="s">
        <v>37</v>
      </c>
      <c r="F21" s="16">
        <f>ROUND(+F20*F19,2)</f>
        <v>0</v>
      </c>
      <c r="G21" s="16" t="s">
        <v>37</v>
      </c>
    </row>
    <row r="22" spans="1:7" x14ac:dyDescent="0.2">
      <c r="A22" s="121" t="s">
        <v>481</v>
      </c>
      <c r="B22" s="65"/>
      <c r="C22" s="65"/>
      <c r="D22" s="16">
        <f>ROUND((((D19*(D14/220)*1.5)*4*4)+(D19*((D20/220)*2)*8*1)),2)</f>
        <v>0</v>
      </c>
      <c r="E22" s="16" t="s">
        <v>37</v>
      </c>
      <c r="F22" s="16">
        <f>ROUND((((F19*(F14/220)*1.5)*4*4)+(F19*((F20/220)*2)*8*1)),2)</f>
        <v>0</v>
      </c>
      <c r="G22" s="16" t="s">
        <v>37</v>
      </c>
    </row>
    <row r="23" spans="1:7" x14ac:dyDescent="0.2">
      <c r="A23" s="16" t="s">
        <v>48</v>
      </c>
      <c r="B23" s="16"/>
      <c r="C23" s="16"/>
      <c r="D23" s="16">
        <f>ROUND(SUM(D21:D22),2)</f>
        <v>0</v>
      </c>
      <c r="E23" s="16" t="s">
        <v>43</v>
      </c>
      <c r="F23" s="16">
        <f>ROUND(SUM(F21:F22),2)</f>
        <v>0</v>
      </c>
      <c r="G23" s="16" t="s">
        <v>43</v>
      </c>
    </row>
    <row r="24" spans="1:7" x14ac:dyDescent="0.2">
      <c r="A24" s="16"/>
      <c r="B24" s="16"/>
      <c r="C24" s="16"/>
      <c r="D24" s="16"/>
      <c r="E24" s="16"/>
      <c r="F24" s="16"/>
    </row>
    <row r="25" spans="1:7" x14ac:dyDescent="0.2">
      <c r="A25" s="65" t="s">
        <v>49</v>
      </c>
      <c r="B25" s="65"/>
      <c r="C25" s="65"/>
      <c r="D25" s="16">
        <v>3</v>
      </c>
      <c r="E25" s="16" t="s">
        <v>35</v>
      </c>
      <c r="F25" s="16">
        <v>1</v>
      </c>
      <c r="G25" s="16" t="s">
        <v>35</v>
      </c>
    </row>
    <row r="26" spans="1:7" x14ac:dyDescent="0.2">
      <c r="A26" s="76" t="s">
        <v>484</v>
      </c>
      <c r="B26" s="65"/>
      <c r="C26" s="65"/>
      <c r="D26" s="16">
        <f>MOTORISTA!B32</f>
        <v>5407.0828585454556</v>
      </c>
      <c r="E26" s="16" t="s">
        <v>36</v>
      </c>
      <c r="F26" s="16">
        <f>+MOTORISTA!B58</f>
        <v>6029.6182158636366</v>
      </c>
      <c r="G26" s="65" t="s">
        <v>36</v>
      </c>
    </row>
    <row r="27" spans="1:7" x14ac:dyDescent="0.2">
      <c r="A27" s="76" t="s">
        <v>485</v>
      </c>
      <c r="B27" s="65"/>
      <c r="C27" s="65"/>
      <c r="D27" s="16">
        <f>ROUND(+D26*D25,2)</f>
        <v>16221.25</v>
      </c>
      <c r="E27" s="16" t="s">
        <v>37</v>
      </c>
      <c r="F27" s="16">
        <f>ROUND(+F26*F25,2)</f>
        <v>6029.62</v>
      </c>
      <c r="G27" s="16" t="s">
        <v>37</v>
      </c>
    </row>
    <row r="28" spans="1:7" x14ac:dyDescent="0.2">
      <c r="A28" s="121" t="s">
        <v>481</v>
      </c>
      <c r="B28" s="65"/>
      <c r="C28" s="65"/>
      <c r="D28" s="16">
        <f>ROUND((((D25*(D14/220)*1.5)*4*4)+(D25*((D26/220)*2)*8*1)),2)</f>
        <v>2329.14</v>
      </c>
      <c r="E28" s="16" t="s">
        <v>37</v>
      </c>
      <c r="F28" s="16">
        <f>ROUND((((F25*(F14/220)*1.5)*4*4)+(F25*((F26/220)*2)*8*1)),2)</f>
        <v>855.35</v>
      </c>
      <c r="G28" s="16" t="s">
        <v>37</v>
      </c>
    </row>
    <row r="29" spans="1:7" x14ac:dyDescent="0.2">
      <c r="A29" s="76" t="s">
        <v>52</v>
      </c>
      <c r="B29" s="76"/>
      <c r="C29" s="76"/>
      <c r="D29" s="16">
        <f>ROUND(SUM(D27:D28),2)</f>
        <v>18550.39</v>
      </c>
      <c r="E29" s="16" t="s">
        <v>43</v>
      </c>
      <c r="F29" s="16">
        <f>ROUND(SUM(F27:F28),2)</f>
        <v>6884.97</v>
      </c>
      <c r="G29" s="16" t="s">
        <v>43</v>
      </c>
    </row>
    <row r="30" spans="1:7" x14ac:dyDescent="0.2">
      <c r="A30" s="16"/>
      <c r="B30" s="16"/>
      <c r="C30" s="16"/>
      <c r="D30" s="16"/>
      <c r="E30" s="16"/>
      <c r="G30" s="16"/>
    </row>
    <row r="31" spans="1:7" x14ac:dyDescent="0.2">
      <c r="A31" s="33" t="s">
        <v>189</v>
      </c>
      <c r="B31" s="33"/>
      <c r="C31" s="33"/>
      <c r="D31" s="33">
        <f>D17+D23+D29+F17+F23+F29</f>
        <v>25435.360000000001</v>
      </c>
      <c r="E31" s="33" t="s">
        <v>131</v>
      </c>
      <c r="G31" s="16"/>
    </row>
    <row r="32" spans="1:7" x14ac:dyDescent="0.2">
      <c r="A32" s="16"/>
      <c r="B32" s="16"/>
      <c r="C32" s="16"/>
      <c r="D32" s="16"/>
      <c r="E32" s="16"/>
      <c r="G32" s="16"/>
    </row>
    <row r="33" spans="1:10" x14ac:dyDescent="0.2">
      <c r="A33" s="93" t="s">
        <v>87</v>
      </c>
      <c r="B33" s="81"/>
      <c r="C33" s="81"/>
      <c r="D33" s="18"/>
      <c r="E33" s="16"/>
      <c r="F33" s="16"/>
      <c r="G33" s="16"/>
    </row>
    <row r="34" spans="1:10" x14ac:dyDescent="0.2">
      <c r="A34" s="16"/>
      <c r="B34" s="16"/>
      <c r="C34" s="16"/>
      <c r="D34" s="91" t="s">
        <v>442</v>
      </c>
      <c r="E34" s="91"/>
      <c r="F34" s="91" t="s">
        <v>441</v>
      </c>
      <c r="G34" s="16"/>
    </row>
    <row r="35" spans="1:10" hidden="1" x14ac:dyDescent="0.2">
      <c r="A35" s="76" t="s">
        <v>295</v>
      </c>
      <c r="B35" s="76"/>
      <c r="C35" s="76"/>
      <c r="D35" s="16"/>
      <c r="E35" s="16" t="s">
        <v>35</v>
      </c>
      <c r="F35" s="16" t="s">
        <v>8</v>
      </c>
      <c r="G35" s="16"/>
    </row>
    <row r="36" spans="1:10" hidden="1" x14ac:dyDescent="0.2">
      <c r="A36" s="16" t="s">
        <v>53</v>
      </c>
      <c r="B36" s="16"/>
      <c r="C36" s="16"/>
      <c r="D36" s="16"/>
      <c r="E36" s="16" t="s">
        <v>36</v>
      </c>
      <c r="F36" s="16"/>
      <c r="G36" s="16"/>
    </row>
    <row r="37" spans="1:10" hidden="1" x14ac:dyDescent="0.2">
      <c r="A37" s="65" t="s">
        <v>297</v>
      </c>
      <c r="B37" s="65"/>
      <c r="C37" s="65"/>
      <c r="D37" s="16">
        <f>ROUND(+D36*D35,2)</f>
        <v>0</v>
      </c>
      <c r="E37" s="16" t="s">
        <v>37</v>
      </c>
      <c r="F37" s="16"/>
      <c r="G37" s="16"/>
    </row>
    <row r="38" spans="1:10" hidden="1" x14ac:dyDescent="0.2">
      <c r="A38" s="65"/>
      <c r="B38" s="65"/>
      <c r="C38" s="65"/>
      <c r="D38" s="16"/>
      <c r="E38" s="16"/>
      <c r="F38" s="16"/>
      <c r="G38" s="16"/>
    </row>
    <row r="39" spans="1:10" hidden="1" x14ac:dyDescent="0.2">
      <c r="A39" s="76" t="s">
        <v>296</v>
      </c>
      <c r="B39" s="76"/>
      <c r="C39" s="76"/>
      <c r="D39" s="16"/>
      <c r="E39" s="16" t="s">
        <v>35</v>
      </c>
      <c r="F39" s="16"/>
      <c r="G39" s="16"/>
    </row>
    <row r="40" spans="1:10" hidden="1" x14ac:dyDescent="0.2">
      <c r="A40" s="16" t="s">
        <v>53</v>
      </c>
      <c r="B40" s="16"/>
      <c r="C40" s="16"/>
      <c r="D40" s="16"/>
      <c r="E40" s="16" t="s">
        <v>36</v>
      </c>
      <c r="F40" s="16"/>
      <c r="G40" s="16"/>
      <c r="J40" s="11">
        <v>308</v>
      </c>
    </row>
    <row r="41" spans="1:10" hidden="1" x14ac:dyDescent="0.2">
      <c r="A41" s="65" t="s">
        <v>298</v>
      </c>
      <c r="B41" s="65"/>
      <c r="C41" s="65"/>
      <c r="D41" s="16">
        <f>ROUND(+D40*D39,2)</f>
        <v>0</v>
      </c>
      <c r="E41" s="16" t="s">
        <v>37</v>
      </c>
      <c r="F41" s="16"/>
      <c r="G41" s="16"/>
      <c r="J41" s="11">
        <v>20</v>
      </c>
    </row>
    <row r="42" spans="1:10" hidden="1" x14ac:dyDescent="0.2">
      <c r="A42" s="65"/>
      <c r="B42" s="65"/>
      <c r="C42" s="65"/>
      <c r="D42" s="16"/>
      <c r="E42" s="16"/>
      <c r="F42" s="16"/>
      <c r="G42" s="16"/>
    </row>
    <row r="43" spans="1:10" hidden="1" x14ac:dyDescent="0.2">
      <c r="A43" s="76" t="s">
        <v>600</v>
      </c>
      <c r="B43" s="76"/>
      <c r="C43" s="76"/>
      <c r="D43" s="16"/>
      <c r="E43" s="16" t="s">
        <v>35</v>
      </c>
      <c r="F43" s="16"/>
      <c r="G43" s="16"/>
    </row>
    <row r="44" spans="1:10" hidden="1" x14ac:dyDescent="0.2">
      <c r="A44" s="16" t="s">
        <v>329</v>
      </c>
      <c r="B44" s="16"/>
      <c r="C44" s="16"/>
      <c r="D44" s="75"/>
      <c r="E44" s="16" t="s">
        <v>36</v>
      </c>
      <c r="F44" s="16"/>
      <c r="G44" s="16"/>
    </row>
    <row r="45" spans="1:10" hidden="1" x14ac:dyDescent="0.2">
      <c r="A45" s="76" t="s">
        <v>93</v>
      </c>
      <c r="B45" s="76"/>
      <c r="C45" s="76"/>
      <c r="D45" s="75"/>
      <c r="E45" s="16" t="s">
        <v>37</v>
      </c>
      <c r="F45" s="16"/>
      <c r="G45" s="16"/>
    </row>
    <row r="46" spans="1:10" hidden="1" x14ac:dyDescent="0.2">
      <c r="A46" s="76"/>
      <c r="B46" s="76"/>
      <c r="C46" s="76"/>
      <c r="D46" s="75"/>
      <c r="E46" s="16"/>
      <c r="F46" s="16"/>
      <c r="G46" s="16"/>
    </row>
    <row r="47" spans="1:10" x14ac:dyDescent="0.2">
      <c r="A47" s="76" t="s">
        <v>173</v>
      </c>
      <c r="B47" s="76"/>
      <c r="C47" s="76"/>
      <c r="D47" s="16">
        <v>3</v>
      </c>
      <c r="E47" s="16" t="s">
        <v>35</v>
      </c>
      <c r="F47" s="16"/>
      <c r="G47" s="16" t="s">
        <v>35</v>
      </c>
    </row>
    <row r="48" spans="1:10" x14ac:dyDescent="0.2">
      <c r="A48" s="16" t="s">
        <v>329</v>
      </c>
      <c r="B48" s="16"/>
      <c r="C48" s="16"/>
      <c r="D48" s="16">
        <f>'CAMP TRANSP'!B61</f>
        <v>41489.570318163693</v>
      </c>
      <c r="E48" s="16" t="s">
        <v>36</v>
      </c>
      <c r="F48" s="16">
        <f>'CAMP TRANSP'!B61</f>
        <v>41489.570318163693</v>
      </c>
      <c r="G48" s="16" t="s">
        <v>36</v>
      </c>
    </row>
    <row r="49" spans="1:7" x14ac:dyDescent="0.2">
      <c r="A49" s="76" t="s">
        <v>93</v>
      </c>
      <c r="B49" s="76"/>
      <c r="C49" s="76"/>
      <c r="D49" s="16">
        <f>ROUND(+D48*D47,2)</f>
        <v>124468.71</v>
      </c>
      <c r="E49" s="16" t="s">
        <v>37</v>
      </c>
      <c r="F49" s="16">
        <f>F47*F48</f>
        <v>0</v>
      </c>
      <c r="G49" s="16" t="s">
        <v>37</v>
      </c>
    </row>
    <row r="50" spans="1:7" x14ac:dyDescent="0.2">
      <c r="A50" s="16"/>
      <c r="B50" s="16"/>
      <c r="C50" s="16"/>
      <c r="D50" s="16"/>
      <c r="E50" s="16"/>
      <c r="F50" s="16"/>
      <c r="G50" s="16"/>
    </row>
    <row r="51" spans="1:7" hidden="1" x14ac:dyDescent="0.2">
      <c r="A51" s="76" t="s">
        <v>173</v>
      </c>
      <c r="B51" s="76"/>
      <c r="C51" s="76"/>
      <c r="D51" s="16"/>
      <c r="E51" s="16" t="s">
        <v>35</v>
      </c>
      <c r="F51" s="16"/>
      <c r="G51" s="16"/>
    </row>
    <row r="52" spans="1:7" hidden="1" x14ac:dyDescent="0.2">
      <c r="A52" s="16" t="s">
        <v>329</v>
      </c>
      <c r="B52" s="16"/>
      <c r="C52" s="16"/>
      <c r="D52" s="16">
        <f>'CAMP TRANSP'!B61</f>
        <v>41489.570318163693</v>
      </c>
      <c r="E52" s="16" t="s">
        <v>36</v>
      </c>
      <c r="F52" s="16"/>
      <c r="G52" s="16"/>
    </row>
    <row r="53" spans="1:7" hidden="1" x14ac:dyDescent="0.2">
      <c r="A53" s="76" t="s">
        <v>93</v>
      </c>
      <c r="B53" s="76"/>
      <c r="C53" s="76"/>
      <c r="D53" s="16">
        <f>D51*D52</f>
        <v>0</v>
      </c>
      <c r="E53" s="16" t="s">
        <v>37</v>
      </c>
      <c r="F53" s="16"/>
      <c r="G53" s="16"/>
    </row>
    <row r="54" spans="1:7" hidden="1" x14ac:dyDescent="0.2">
      <c r="A54" s="76"/>
      <c r="B54" s="76"/>
      <c r="C54" s="76"/>
      <c r="D54" s="16"/>
      <c r="E54" s="16"/>
      <c r="F54" s="16"/>
      <c r="G54" s="16"/>
    </row>
    <row r="55" spans="1:7" x14ac:dyDescent="0.2">
      <c r="A55" s="33" t="s">
        <v>196</v>
      </c>
      <c r="B55" s="33"/>
      <c r="C55" s="33"/>
      <c r="D55" s="33">
        <f>ROUND(D37+D41+D45+D49+D53+F49,2)</f>
        <v>124468.71</v>
      </c>
      <c r="E55" s="33" t="s">
        <v>131</v>
      </c>
      <c r="F55" s="16"/>
      <c r="G55" s="16"/>
    </row>
    <row r="56" spans="1:7" x14ac:dyDescent="0.2">
      <c r="A56" s="16"/>
      <c r="B56" s="16"/>
      <c r="C56" s="16"/>
      <c r="D56" s="16"/>
      <c r="E56" s="16"/>
      <c r="F56" s="16"/>
      <c r="G56" s="16"/>
    </row>
    <row r="57" spans="1:7" x14ac:dyDescent="0.2">
      <c r="A57" s="93" t="s">
        <v>163</v>
      </c>
      <c r="B57" s="81"/>
      <c r="C57" s="81"/>
      <c r="D57" s="82"/>
      <c r="E57" s="16"/>
      <c r="F57" s="16"/>
      <c r="G57" s="11"/>
    </row>
    <row r="58" spans="1:7" x14ac:dyDescent="0.2">
      <c r="A58" s="81"/>
      <c r="B58" s="81"/>
      <c r="C58" s="81"/>
      <c r="D58" s="82"/>
      <c r="E58" s="16"/>
      <c r="F58" s="16"/>
      <c r="G58" s="11"/>
    </row>
    <row r="59" spans="1:7" x14ac:dyDescent="0.2">
      <c r="A59" s="23" t="s">
        <v>113</v>
      </c>
      <c r="B59" s="226"/>
      <c r="C59" s="80" t="s">
        <v>114</v>
      </c>
      <c r="D59" s="16">
        <f>ROUND(B59*PREÇOS!J6,2)</f>
        <v>0</v>
      </c>
      <c r="E59" s="16" t="s">
        <v>37</v>
      </c>
      <c r="F59" s="16"/>
      <c r="G59" s="16"/>
    </row>
    <row r="60" spans="1:7" x14ac:dyDescent="0.2">
      <c r="A60" s="16" t="s">
        <v>98</v>
      </c>
      <c r="B60" s="226"/>
      <c r="C60" s="80" t="s">
        <v>114</v>
      </c>
      <c r="D60" s="16">
        <f>ROUND(B60*PREÇOS!J5,2)</f>
        <v>0</v>
      </c>
      <c r="E60" s="16" t="s">
        <v>37</v>
      </c>
      <c r="F60" s="16"/>
      <c r="G60" s="16"/>
    </row>
    <row r="61" spans="1:7" x14ac:dyDescent="0.2">
      <c r="A61" s="16" t="s">
        <v>100</v>
      </c>
      <c r="B61" s="226"/>
      <c r="C61" s="80" t="s">
        <v>114</v>
      </c>
      <c r="D61" s="16">
        <f>ROUND(B61*PREÇOS!J8,2)</f>
        <v>0</v>
      </c>
      <c r="E61" s="16" t="s">
        <v>37</v>
      </c>
      <c r="F61" s="16"/>
      <c r="G61" s="16"/>
    </row>
    <row r="62" spans="1:7" x14ac:dyDescent="0.2">
      <c r="A62" s="16" t="s">
        <v>118</v>
      </c>
      <c r="B62" s="226"/>
      <c r="C62" s="80" t="s">
        <v>114</v>
      </c>
      <c r="D62" s="16">
        <f>ROUND(B62*PREÇOS!J7,2)</f>
        <v>0</v>
      </c>
      <c r="E62" s="16" t="s">
        <v>37</v>
      </c>
      <c r="F62" s="16"/>
      <c r="G62" s="16"/>
    </row>
    <row r="63" spans="1:7" x14ac:dyDescent="0.2">
      <c r="A63" s="16" t="s">
        <v>102</v>
      </c>
      <c r="B63" s="226"/>
      <c r="C63" s="80" t="s">
        <v>114</v>
      </c>
      <c r="D63" s="16">
        <f>ROUND(B63*PREÇOS!J12,2)</f>
        <v>0</v>
      </c>
      <c r="E63" s="16" t="s">
        <v>37</v>
      </c>
      <c r="F63" s="16"/>
      <c r="G63" s="16"/>
    </row>
    <row r="64" spans="1:7" x14ac:dyDescent="0.2">
      <c r="A64" s="16" t="s">
        <v>126</v>
      </c>
      <c r="B64" s="226"/>
      <c r="C64" s="80" t="s">
        <v>114</v>
      </c>
      <c r="D64" s="16">
        <f>ROUND(B64*PREÇOS!J14,2)</f>
        <v>0</v>
      </c>
      <c r="E64" s="16" t="s">
        <v>37</v>
      </c>
      <c r="F64" s="16"/>
      <c r="G64" s="16"/>
    </row>
    <row r="65" spans="1:17" x14ac:dyDescent="0.2">
      <c r="A65" s="16" t="s">
        <v>120</v>
      </c>
      <c r="B65" s="226"/>
      <c r="C65" s="80" t="s">
        <v>114</v>
      </c>
      <c r="D65" s="16">
        <f>ROUND(B65*PREÇOS!J10,2)</f>
        <v>0</v>
      </c>
      <c r="E65" s="16" t="s">
        <v>37</v>
      </c>
      <c r="F65" s="16"/>
      <c r="G65" s="16"/>
    </row>
    <row r="66" spans="1:17" x14ac:dyDescent="0.2">
      <c r="A66" s="44" t="s">
        <v>493</v>
      </c>
      <c r="B66" s="222"/>
      <c r="C66" s="125" t="s">
        <v>494</v>
      </c>
      <c r="D66" s="44">
        <f>B66*PREÇOS!J29</f>
        <v>0</v>
      </c>
      <c r="E66" s="44" t="s">
        <v>43</v>
      </c>
      <c r="F66" s="16"/>
      <c r="G66" s="16"/>
    </row>
    <row r="67" spans="1:17" x14ac:dyDescent="0.2">
      <c r="A67" s="44"/>
      <c r="B67" s="222"/>
      <c r="C67" s="125"/>
      <c r="D67" s="44"/>
      <c r="E67" s="44"/>
      <c r="F67" s="16"/>
      <c r="G67" s="16"/>
    </row>
    <row r="68" spans="1:17" x14ac:dyDescent="0.2">
      <c r="A68" s="33" t="s">
        <v>197</v>
      </c>
      <c r="B68" s="33"/>
      <c r="C68" s="33"/>
      <c r="D68" s="33">
        <f>SUM(D59:D66)</f>
        <v>0</v>
      </c>
      <c r="E68" s="33" t="s">
        <v>131</v>
      </c>
      <c r="F68" s="16"/>
      <c r="G68" s="16"/>
    </row>
    <row r="69" spans="1:17" hidden="1" x14ac:dyDescent="0.2">
      <c r="A69" s="16" t="s">
        <v>72</v>
      </c>
      <c r="B69" s="16"/>
      <c r="C69" s="16"/>
      <c r="D69" s="85"/>
      <c r="E69" s="16"/>
      <c r="F69" s="16"/>
      <c r="G69" s="16"/>
    </row>
    <row r="70" spans="1:17" hidden="1" x14ac:dyDescent="0.2">
      <c r="A70" s="16" t="s">
        <v>57</v>
      </c>
      <c r="B70" s="16"/>
      <c r="C70" s="16"/>
      <c r="D70" s="16" t="e">
        <f>ROUND(D69*#REF!,2)</f>
        <v>#REF!</v>
      </c>
      <c r="E70" s="16" t="s">
        <v>71</v>
      </c>
      <c r="F70" s="16"/>
      <c r="G70" s="16"/>
    </row>
    <row r="71" spans="1:17" hidden="1" x14ac:dyDescent="0.2">
      <c r="A71" s="16"/>
      <c r="B71" s="79"/>
      <c r="C71" s="80"/>
      <c r="D71" s="16"/>
      <c r="E71" s="16"/>
      <c r="F71" s="16"/>
      <c r="G71" s="16"/>
    </row>
    <row r="72" spans="1:17" x14ac:dyDescent="0.2">
      <c r="A72" s="16"/>
      <c r="B72" s="79"/>
      <c r="C72" s="80"/>
      <c r="D72" s="16"/>
      <c r="E72" s="16"/>
      <c r="F72" s="16"/>
      <c r="G72" s="16"/>
    </row>
    <row r="73" spans="1:17" s="132" customFormat="1" x14ac:dyDescent="0.2">
      <c r="A73" s="127" t="s">
        <v>491</v>
      </c>
      <c r="B73" s="44"/>
      <c r="C73" s="44"/>
      <c r="D73" s="44"/>
      <c r="E73" s="44"/>
      <c r="F73" s="44"/>
      <c r="G73" s="44"/>
      <c r="H73" s="44"/>
      <c r="I73" s="44"/>
      <c r="O73" s="157"/>
      <c r="Q73" s="69"/>
    </row>
    <row r="74" spans="1:17" s="132" customFormat="1" x14ac:dyDescent="0.2">
      <c r="A74" s="127"/>
      <c r="B74" s="44"/>
      <c r="C74" s="44"/>
      <c r="D74" s="44"/>
      <c r="E74" s="44"/>
      <c r="F74" s="44"/>
      <c r="G74" s="44"/>
      <c r="H74" s="44"/>
      <c r="I74" s="44"/>
      <c r="O74" s="157"/>
      <c r="Q74" s="69"/>
    </row>
    <row r="75" spans="1:17" s="132" customFormat="1" x14ac:dyDescent="0.2">
      <c r="A75" s="225" t="s">
        <v>499</v>
      </c>
      <c r="B75" s="44"/>
      <c r="C75" s="44"/>
      <c r="D75" s="44"/>
      <c r="E75" s="44"/>
      <c r="F75" s="44"/>
      <c r="G75" s="44"/>
      <c r="H75" s="44"/>
      <c r="I75" s="44"/>
      <c r="O75" s="157"/>
      <c r="Q75" s="69"/>
    </row>
    <row r="76" spans="1:17" s="132" customFormat="1" x14ac:dyDescent="0.2">
      <c r="A76" s="225" t="s">
        <v>497</v>
      </c>
      <c r="B76" s="44"/>
      <c r="C76" s="44"/>
      <c r="D76" s="44">
        <v>110</v>
      </c>
      <c r="E76" s="44" t="s">
        <v>496</v>
      </c>
      <c r="F76" s="44"/>
      <c r="G76" s="44"/>
      <c r="H76" s="44"/>
      <c r="I76" s="44"/>
      <c r="O76" s="157"/>
      <c r="Q76" s="69"/>
    </row>
    <row r="77" spans="1:17" s="132" customFormat="1" x14ac:dyDescent="0.2">
      <c r="A77" s="225" t="s">
        <v>498</v>
      </c>
      <c r="B77" s="44"/>
      <c r="C77" s="44"/>
      <c r="D77" s="44">
        <v>110</v>
      </c>
      <c r="E77" s="44" t="s">
        <v>506</v>
      </c>
      <c r="F77" s="44"/>
      <c r="G77" s="44"/>
      <c r="H77" s="44"/>
      <c r="I77" s="44"/>
      <c r="O77" s="157"/>
      <c r="Q77" s="69"/>
    </row>
    <row r="78" spans="1:17" s="132" customFormat="1" x14ac:dyDescent="0.2">
      <c r="A78" s="225"/>
      <c r="B78" s="44"/>
      <c r="C78" s="44"/>
      <c r="D78" s="44"/>
      <c r="E78" s="44"/>
      <c r="F78" s="44"/>
      <c r="G78" s="44"/>
      <c r="H78" s="44"/>
      <c r="I78" s="44"/>
      <c r="O78" s="157"/>
      <c r="Q78" s="69"/>
    </row>
    <row r="79" spans="1:17" s="132" customFormat="1" x14ac:dyDescent="0.2">
      <c r="A79" s="225" t="s">
        <v>500</v>
      </c>
      <c r="B79" s="44"/>
      <c r="C79" s="44"/>
      <c r="D79" s="44"/>
      <c r="E79" s="44"/>
      <c r="F79" s="44"/>
      <c r="G79" s="44"/>
      <c r="H79" s="44"/>
      <c r="I79" s="44"/>
      <c r="O79" s="157"/>
      <c r="Q79" s="69"/>
    </row>
    <row r="80" spans="1:17" s="132" customFormat="1" x14ac:dyDescent="0.2">
      <c r="A80" s="225" t="s">
        <v>501</v>
      </c>
      <c r="B80" s="44"/>
      <c r="C80" s="44"/>
      <c r="D80" s="44">
        <v>800</v>
      </c>
      <c r="E80" s="44" t="s">
        <v>505</v>
      </c>
      <c r="F80" s="44"/>
      <c r="G80" s="44"/>
      <c r="H80" s="44"/>
      <c r="I80" s="44"/>
      <c r="O80" s="157"/>
      <c r="Q80" s="69"/>
    </row>
    <row r="81" spans="1:17" s="132" customFormat="1" x14ac:dyDescent="0.2">
      <c r="A81" s="225" t="s">
        <v>502</v>
      </c>
      <c r="B81" s="44"/>
      <c r="C81" s="44"/>
      <c r="D81" s="44">
        <v>60</v>
      </c>
      <c r="E81" s="44" t="s">
        <v>506</v>
      </c>
      <c r="F81" s="44"/>
      <c r="G81" s="44"/>
      <c r="H81" s="44"/>
      <c r="I81" s="44"/>
      <c r="O81" s="157"/>
      <c r="Q81" s="69"/>
    </row>
    <row r="82" spans="1:17" s="132" customFormat="1" x14ac:dyDescent="0.2">
      <c r="A82" s="225" t="s">
        <v>503</v>
      </c>
      <c r="B82" s="44"/>
      <c r="C82" s="44"/>
      <c r="D82" s="44">
        <v>30</v>
      </c>
      <c r="E82" s="44" t="s">
        <v>55</v>
      </c>
      <c r="F82" s="44"/>
      <c r="G82" s="44"/>
      <c r="H82" s="44"/>
      <c r="I82" s="44"/>
      <c r="O82" s="157"/>
      <c r="Q82" s="69"/>
    </row>
    <row r="83" spans="1:17" s="132" customFormat="1" x14ac:dyDescent="0.2">
      <c r="A83" s="44" t="s">
        <v>504</v>
      </c>
      <c r="B83" s="44"/>
      <c r="C83" s="44"/>
      <c r="D83" s="44">
        <f>(D80/D82)+D81</f>
        <v>86.666666666666671</v>
      </c>
      <c r="E83" s="44" t="s">
        <v>507</v>
      </c>
      <c r="F83" s="44"/>
      <c r="G83" s="44"/>
      <c r="H83" s="44"/>
      <c r="I83" s="44"/>
      <c r="O83" s="157"/>
      <c r="Q83" s="69"/>
    </row>
    <row r="84" spans="1:17" s="132" customFormat="1" x14ac:dyDescent="0.2">
      <c r="A84" s="44"/>
      <c r="B84" s="44"/>
      <c r="C84" s="44"/>
      <c r="D84" s="44"/>
      <c r="E84" s="44"/>
      <c r="F84" s="44"/>
      <c r="G84" s="44"/>
      <c r="H84" s="44"/>
      <c r="I84" s="44"/>
      <c r="O84" s="157"/>
      <c r="Q84" s="69"/>
    </row>
    <row r="85" spans="1:17" s="132" customFormat="1" x14ac:dyDescent="0.2">
      <c r="A85" s="44" t="s">
        <v>508</v>
      </c>
      <c r="B85" s="44"/>
      <c r="C85" s="44"/>
      <c r="D85" s="44"/>
      <c r="E85" s="44"/>
      <c r="F85" s="44"/>
      <c r="G85" s="44"/>
      <c r="H85" s="44"/>
      <c r="I85" s="44"/>
      <c r="O85" s="157"/>
      <c r="Q85" s="69"/>
    </row>
    <row r="86" spans="1:17" s="132" customFormat="1" x14ac:dyDescent="0.2">
      <c r="A86" s="44" t="s">
        <v>509</v>
      </c>
      <c r="B86" s="44"/>
      <c r="C86" s="44"/>
      <c r="D86" s="44">
        <v>4</v>
      </c>
      <c r="E86" s="44" t="s">
        <v>514</v>
      </c>
      <c r="F86" s="44"/>
      <c r="G86" s="44"/>
      <c r="H86" s="44"/>
      <c r="I86" s="44"/>
      <c r="O86" s="157"/>
      <c r="Q86" s="69"/>
    </row>
    <row r="87" spans="1:17" s="132" customFormat="1" x14ac:dyDescent="0.2">
      <c r="A87" s="44" t="s">
        <v>520</v>
      </c>
      <c r="B87" s="44"/>
      <c r="C87" s="44"/>
      <c r="D87" s="44">
        <f>D58</f>
        <v>0</v>
      </c>
      <c r="E87" s="44" t="s">
        <v>514</v>
      </c>
      <c r="F87" s="44"/>
      <c r="G87" s="44"/>
      <c r="H87" s="44"/>
      <c r="I87" s="44"/>
      <c r="O87" s="157"/>
      <c r="Q87" s="69"/>
    </row>
    <row r="88" spans="1:17" s="132" customFormat="1" x14ac:dyDescent="0.2">
      <c r="A88" s="44" t="s">
        <v>516</v>
      </c>
      <c r="B88" s="44"/>
      <c r="C88" s="44"/>
      <c r="D88" s="44">
        <f>D76*D86</f>
        <v>440</v>
      </c>
      <c r="E88" s="44" t="s">
        <v>515</v>
      </c>
      <c r="F88" s="44"/>
      <c r="G88" s="44"/>
      <c r="H88" s="44"/>
      <c r="I88" s="44"/>
      <c r="O88" s="157"/>
      <c r="Q88" s="69"/>
    </row>
    <row r="89" spans="1:17" s="132" customFormat="1" x14ac:dyDescent="0.2">
      <c r="A89" s="44" t="s">
        <v>511</v>
      </c>
      <c r="B89" s="44"/>
      <c r="C89" s="44"/>
      <c r="D89" s="44">
        <f>D87*D77</f>
        <v>0</v>
      </c>
      <c r="E89" s="44" t="s">
        <v>506</v>
      </c>
      <c r="F89" s="44"/>
      <c r="G89" s="44"/>
      <c r="H89" s="44"/>
      <c r="I89" s="44"/>
      <c r="O89" s="157"/>
      <c r="Q89" s="69"/>
    </row>
    <row r="90" spans="1:17" s="132" customFormat="1" x14ac:dyDescent="0.2">
      <c r="A90" s="44" t="s">
        <v>512</v>
      </c>
      <c r="B90" s="44"/>
      <c r="C90" s="44"/>
      <c r="D90" s="44"/>
      <c r="E90" s="44" t="s">
        <v>514</v>
      </c>
      <c r="F90" s="44"/>
      <c r="G90" s="44"/>
      <c r="H90" s="44"/>
      <c r="I90" s="44"/>
      <c r="O90" s="157"/>
      <c r="Q90" s="69"/>
    </row>
    <row r="91" spans="1:17" s="132" customFormat="1" x14ac:dyDescent="0.2">
      <c r="A91" s="44" t="s">
        <v>517</v>
      </c>
      <c r="B91" s="44"/>
      <c r="C91" s="44"/>
      <c r="D91" s="44">
        <f>D83*D90</f>
        <v>0</v>
      </c>
      <c r="E91" s="44" t="s">
        <v>518</v>
      </c>
      <c r="F91" s="44"/>
      <c r="G91" s="44"/>
      <c r="H91" s="44"/>
      <c r="I91" s="44"/>
      <c r="O91" s="157"/>
      <c r="Q91" s="69"/>
    </row>
    <row r="92" spans="1:17" s="132" customFormat="1" x14ac:dyDescent="0.2">
      <c r="A92" s="44"/>
      <c r="B92" s="44"/>
      <c r="C92" s="44"/>
      <c r="D92" s="44"/>
      <c r="E92" s="44"/>
      <c r="F92" s="44"/>
      <c r="G92" s="44"/>
      <c r="H92" s="44"/>
      <c r="I92" s="44"/>
      <c r="O92" s="157"/>
      <c r="Q92" s="69"/>
    </row>
    <row r="93" spans="1:17" s="132" customFormat="1" x14ac:dyDescent="0.2">
      <c r="A93" s="122" t="s">
        <v>513</v>
      </c>
      <c r="B93" s="122"/>
      <c r="C93" s="122"/>
      <c r="D93" s="122">
        <f>D88+D89+D91</f>
        <v>440</v>
      </c>
      <c r="E93" s="122" t="s">
        <v>131</v>
      </c>
      <c r="F93" s="44"/>
      <c r="G93" s="44"/>
      <c r="H93" s="44"/>
      <c r="I93" s="44"/>
      <c r="O93" s="157"/>
      <c r="Q93" s="69"/>
    </row>
    <row r="94" spans="1:17" x14ac:dyDescent="0.2">
      <c r="A94" s="16"/>
      <c r="B94" s="79"/>
      <c r="C94" s="80"/>
      <c r="D94" s="16"/>
      <c r="E94" s="16"/>
      <c r="F94" s="16"/>
      <c r="G94" s="16"/>
    </row>
    <row r="95" spans="1:17" x14ac:dyDescent="0.2">
      <c r="A95" s="77" t="s">
        <v>522</v>
      </c>
      <c r="B95" s="78"/>
      <c r="C95" s="78"/>
      <c r="D95" s="75"/>
      <c r="E95" s="75"/>
      <c r="F95" s="16"/>
      <c r="G95" s="16"/>
    </row>
    <row r="96" spans="1:17" x14ac:dyDescent="0.2">
      <c r="A96" s="94"/>
      <c r="B96" s="94"/>
      <c r="C96" s="94"/>
      <c r="D96" s="16"/>
      <c r="E96" s="16"/>
      <c r="F96" s="16"/>
      <c r="G96" s="16"/>
    </row>
    <row r="97" spans="1:17" x14ac:dyDescent="0.2">
      <c r="A97" s="16" t="s">
        <v>68</v>
      </c>
      <c r="B97" s="16"/>
      <c r="C97" s="16"/>
      <c r="D97" s="16">
        <f>+D31</f>
        <v>25435.360000000001</v>
      </c>
      <c r="E97" s="16" t="s">
        <v>37</v>
      </c>
      <c r="F97" s="16"/>
      <c r="G97" s="16"/>
      <c r="I97" s="63"/>
    </row>
    <row r="98" spans="1:17" x14ac:dyDescent="0.2">
      <c r="A98" s="16" t="s">
        <v>58</v>
      </c>
      <c r="B98" s="16"/>
      <c r="C98" s="16"/>
      <c r="D98" s="16">
        <f>D55</f>
        <v>124468.71</v>
      </c>
      <c r="E98" s="16" t="s">
        <v>37</v>
      </c>
      <c r="F98" s="16"/>
      <c r="G98" s="16"/>
      <c r="I98" s="63"/>
    </row>
    <row r="99" spans="1:17" x14ac:dyDescent="0.2">
      <c r="A99" s="16" t="s">
        <v>67</v>
      </c>
      <c r="B99" s="16"/>
      <c r="C99" s="16"/>
      <c r="D99" s="16">
        <f>D68</f>
        <v>0</v>
      </c>
      <c r="E99" s="16" t="s">
        <v>37</v>
      </c>
      <c r="F99" s="16"/>
      <c r="G99" s="16"/>
      <c r="I99" s="63"/>
    </row>
    <row r="100" spans="1:17" x14ac:dyDescent="0.2">
      <c r="A100" s="44" t="s">
        <v>519</v>
      </c>
      <c r="B100" s="16"/>
      <c r="C100" s="16"/>
      <c r="D100" s="16">
        <f>D93</f>
        <v>440</v>
      </c>
      <c r="E100" s="16" t="s">
        <v>37</v>
      </c>
      <c r="F100" s="16"/>
      <c r="G100" s="16"/>
      <c r="I100" s="63"/>
      <c r="J100" s="63"/>
    </row>
    <row r="101" spans="1:17" x14ac:dyDescent="0.2">
      <c r="A101" s="16"/>
      <c r="B101" s="16"/>
      <c r="C101" s="16"/>
      <c r="D101" s="16"/>
      <c r="E101" s="16"/>
      <c r="F101" s="16"/>
      <c r="G101" s="16"/>
    </row>
    <row r="102" spans="1:17" x14ac:dyDescent="0.2">
      <c r="A102" s="33" t="s">
        <v>193</v>
      </c>
      <c r="B102" s="33"/>
      <c r="C102" s="33"/>
      <c r="D102" s="33">
        <f>ROUND(SUM(D97:D100),2)</f>
        <v>150344.07</v>
      </c>
      <c r="E102" s="33" t="s">
        <v>131</v>
      </c>
      <c r="F102" s="16"/>
      <c r="G102" s="16"/>
      <c r="I102" s="63"/>
    </row>
    <row r="103" spans="1:17" x14ac:dyDescent="0.2">
      <c r="A103" s="16"/>
      <c r="B103" s="16"/>
      <c r="C103" s="16"/>
      <c r="D103" s="16" t="s">
        <v>8</v>
      </c>
      <c r="E103" s="16"/>
      <c r="F103" s="16"/>
      <c r="G103" s="16"/>
    </row>
    <row r="104" spans="1:17" s="103" customFormat="1" x14ac:dyDescent="0.2">
      <c r="A104" s="122" t="s">
        <v>490</v>
      </c>
      <c r="B104" s="176">
        <f>BDI!C12/100</f>
        <v>0.29712344612244879</v>
      </c>
      <c r="C104" s="122"/>
      <c r="D104" s="165">
        <f>D106-D102</f>
        <v>44670.748182474665</v>
      </c>
      <c r="E104" s="122" t="s">
        <v>131</v>
      </c>
      <c r="F104" s="161"/>
      <c r="G104" s="118"/>
      <c r="H104" s="40"/>
      <c r="I104" s="69"/>
      <c r="O104" s="174"/>
      <c r="Q104" s="146"/>
    </row>
    <row r="105" spans="1:17" x14ac:dyDescent="0.2">
      <c r="A105" s="16"/>
      <c r="B105" s="16"/>
      <c r="C105" s="16"/>
      <c r="D105" s="16"/>
      <c r="E105" s="16"/>
      <c r="F105" s="153"/>
      <c r="G105" s="154"/>
      <c r="H105" s="16"/>
    </row>
    <row r="106" spans="1:17" x14ac:dyDescent="0.2">
      <c r="A106" s="87" t="s">
        <v>489</v>
      </c>
      <c r="B106" s="90"/>
      <c r="C106" s="90"/>
      <c r="D106" s="33">
        <f>D102*BDI!C20</f>
        <v>195014.81818247467</v>
      </c>
      <c r="E106" s="33" t="s">
        <v>37</v>
      </c>
      <c r="F106" s="152"/>
      <c r="G106" s="151"/>
      <c r="H106" s="16"/>
      <c r="I106" s="89"/>
    </row>
    <row r="107" spans="1:17" ht="12.75" customHeight="1" x14ac:dyDescent="0.2">
      <c r="A107" s="88" t="s">
        <v>309</v>
      </c>
      <c r="B107" s="33"/>
      <c r="C107" s="33"/>
      <c r="D107" s="33">
        <f>DOMICILIAR!D107</f>
        <v>2338.1634471124435</v>
      </c>
      <c r="E107" s="33" t="s">
        <v>230</v>
      </c>
      <c r="F107" s="16"/>
      <c r="G107" s="16"/>
    </row>
    <row r="108" spans="1:17" ht="14.25" customHeight="1" x14ac:dyDescent="0.2">
      <c r="A108" s="88" t="s">
        <v>310</v>
      </c>
      <c r="B108" s="33"/>
      <c r="C108" s="33"/>
      <c r="D108" s="33">
        <f>ROUND(D106/D107,2)</f>
        <v>83.41</v>
      </c>
      <c r="E108" s="90" t="s">
        <v>591</v>
      </c>
      <c r="F108" s="11"/>
      <c r="G108" s="16"/>
    </row>
    <row r="109" spans="1:17" x14ac:dyDescent="0.2">
      <c r="A109" s="16"/>
      <c r="B109" s="16"/>
      <c r="C109" s="16"/>
      <c r="D109" s="16"/>
      <c r="E109" s="16"/>
      <c r="F109" s="16"/>
      <c r="G109" s="16"/>
    </row>
    <row r="110" spans="1:17" x14ac:dyDescent="0.2">
      <c r="A110" s="95"/>
      <c r="B110" s="95"/>
      <c r="C110" s="95"/>
      <c r="G110" s="16"/>
    </row>
    <row r="111" spans="1:17" x14ac:dyDescent="0.2">
      <c r="D111" s="16"/>
      <c r="G111" s="16"/>
    </row>
    <row r="112" spans="1:17" x14ac:dyDescent="0.2">
      <c r="D112" s="16"/>
      <c r="G112" s="16"/>
    </row>
    <row r="115" spans="4:11" x14ac:dyDescent="0.2">
      <c r="K115" s="63"/>
    </row>
    <row r="116" spans="4:11" x14ac:dyDescent="0.2">
      <c r="K116" s="63"/>
    </row>
    <row r="117" spans="4:11" x14ac:dyDescent="0.2">
      <c r="D117" s="16"/>
      <c r="K117" s="63"/>
    </row>
    <row r="118" spans="4:11" x14ac:dyDescent="0.2">
      <c r="G118" s="11"/>
      <c r="K118" s="63"/>
    </row>
    <row r="119" spans="4:11" x14ac:dyDescent="0.2">
      <c r="K119" s="63"/>
    </row>
    <row r="120" spans="4:11" x14ac:dyDescent="0.2">
      <c r="K120" s="63"/>
    </row>
    <row r="121" spans="4:11" x14ac:dyDescent="0.2">
      <c r="D121" s="16"/>
    </row>
    <row r="122" spans="4:11" x14ac:dyDescent="0.2">
      <c r="K122" s="63"/>
    </row>
  </sheetData>
  <mergeCells count="3">
    <mergeCell ref="A1:E1"/>
    <mergeCell ref="A2:E2"/>
    <mergeCell ref="A7:E7"/>
  </mergeCells>
  <pageMargins left="1.1811023622047245" right="0.78740157480314965" top="1.3779527559055118" bottom="0.98425196850393704" header="0.51181102362204722" footer="0.51181102362204722"/>
  <pageSetup paperSize="9" scale="69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rowBreaks count="1" manualBreakCount="1">
    <brk id="84" max="6" man="1"/>
  </rowBreak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183"/>
  <sheetViews>
    <sheetView view="pageBreakPreview" topLeftCell="A151" zoomScaleSheetLayoutView="100" workbookViewId="0">
      <selection activeCell="H143" sqref="H143"/>
    </sheetView>
  </sheetViews>
  <sheetFormatPr defaultColWidth="13.33203125" defaultRowHeight="12.75" x14ac:dyDescent="0.2"/>
  <cols>
    <col min="1" max="1" width="59.83203125" style="1" customWidth="1"/>
    <col min="2" max="2" width="12.6640625" style="132" customWidth="1"/>
    <col min="3" max="4" width="18.6640625" style="1" customWidth="1"/>
    <col min="5" max="9" width="13.33203125" style="1"/>
    <col min="10" max="10" width="16" style="1" customWidth="1"/>
    <col min="11" max="16384" width="13.33203125" style="1"/>
  </cols>
  <sheetData>
    <row r="1" spans="1:7" ht="18.75" hidden="1" x14ac:dyDescent="0.2">
      <c r="A1" s="356" t="s">
        <v>226</v>
      </c>
      <c r="B1" s="356"/>
      <c r="C1" s="356"/>
      <c r="D1" s="38"/>
      <c r="E1" s="38"/>
      <c r="F1" s="38"/>
      <c r="G1" s="39"/>
    </row>
    <row r="2" spans="1:7" ht="18" hidden="1" customHeight="1" x14ac:dyDescent="0.2">
      <c r="A2" s="356"/>
      <c r="B2" s="356"/>
      <c r="C2" s="356"/>
      <c r="D2" s="38"/>
      <c r="E2" s="38"/>
      <c r="F2" s="38"/>
      <c r="G2" s="40"/>
    </row>
    <row r="3" spans="1:7" hidden="1" x14ac:dyDescent="0.2">
      <c r="A3" s="41"/>
      <c r="B3" s="41"/>
      <c r="C3" s="41"/>
      <c r="D3" s="41"/>
      <c r="E3" s="41"/>
      <c r="F3" s="41"/>
      <c r="G3" s="41"/>
    </row>
    <row r="4" spans="1:7" hidden="1" x14ac:dyDescent="0.2">
      <c r="A4" s="358"/>
      <c r="B4" s="358"/>
      <c r="C4" s="358"/>
      <c r="D4" s="41"/>
      <c r="E4" s="41"/>
      <c r="F4" s="41"/>
      <c r="G4" s="41"/>
    </row>
    <row r="5" spans="1:7" hidden="1" x14ac:dyDescent="0.2">
      <c r="A5" s="41"/>
      <c r="B5" s="41"/>
      <c r="C5" s="41"/>
      <c r="D5" s="41"/>
      <c r="E5" s="41"/>
      <c r="F5" s="41"/>
      <c r="G5" s="41"/>
    </row>
    <row r="6" spans="1:7" hidden="1" x14ac:dyDescent="0.2">
      <c r="A6" s="42" t="s">
        <v>228</v>
      </c>
      <c r="B6" s="133"/>
      <c r="C6" s="42" t="s">
        <v>222</v>
      </c>
      <c r="D6" s="41"/>
      <c r="F6" s="41"/>
      <c r="G6" s="41"/>
    </row>
    <row r="7" spans="1:7" x14ac:dyDescent="0.2">
      <c r="A7" s="40"/>
      <c r="B7" s="40"/>
      <c r="C7" s="41"/>
      <c r="D7" s="41"/>
      <c r="E7" s="41"/>
      <c r="F7" s="41"/>
    </row>
    <row r="8" spans="1:7" x14ac:dyDescent="0.2">
      <c r="A8" s="355" t="s">
        <v>0</v>
      </c>
      <c r="B8" s="355"/>
      <c r="C8" s="355"/>
      <c r="D8" s="43"/>
      <c r="E8" s="43"/>
      <c r="F8" s="43"/>
    </row>
    <row r="9" spans="1:7" x14ac:dyDescent="0.2">
      <c r="A9" s="44"/>
      <c r="B9" s="44"/>
      <c r="C9" s="44"/>
    </row>
    <row r="10" spans="1:7" x14ac:dyDescent="0.2">
      <c r="A10" s="45" t="s">
        <v>667</v>
      </c>
      <c r="B10" s="45"/>
      <c r="C10" s="46"/>
      <c r="F10" s="47"/>
    </row>
    <row r="12" spans="1:7" x14ac:dyDescent="0.2">
      <c r="A12" s="48" t="s">
        <v>1</v>
      </c>
      <c r="B12" s="141" t="s">
        <v>41</v>
      </c>
      <c r="C12" s="141" t="s">
        <v>341</v>
      </c>
      <c r="D12" s="141" t="s">
        <v>224</v>
      </c>
    </row>
    <row r="13" spans="1:7" x14ac:dyDescent="0.2">
      <c r="A13" s="49"/>
      <c r="B13" s="49"/>
    </row>
    <row r="14" spans="1:7" s="132" customFormat="1" x14ac:dyDescent="0.2">
      <c r="A14" s="51" t="s">
        <v>598</v>
      </c>
      <c r="B14" s="140">
        <v>1</v>
      </c>
      <c r="C14" s="69">
        <f>'GER I'!B32</f>
        <v>8488.4</v>
      </c>
      <c r="D14" s="69">
        <f>B14*C14</f>
        <v>8488.4</v>
      </c>
    </row>
    <row r="15" spans="1:7" x14ac:dyDescent="0.2">
      <c r="A15" s="51" t="s">
        <v>357</v>
      </c>
      <c r="B15" s="140">
        <v>2</v>
      </c>
      <c r="C15" s="142">
        <f>'AUX I'!B32</f>
        <v>4003.2670435101754</v>
      </c>
      <c r="D15" s="69">
        <f>B15*C15</f>
        <v>8006.5340870203509</v>
      </c>
    </row>
    <row r="16" spans="1:7" s="132" customFormat="1" x14ac:dyDescent="0.2">
      <c r="A16" s="51" t="s">
        <v>358</v>
      </c>
      <c r="B16" s="143">
        <v>3</v>
      </c>
      <c r="C16" s="142">
        <f>VIGIA!B32</f>
        <v>2827.3479101818184</v>
      </c>
      <c r="D16" s="69">
        <f>B16*C16</f>
        <v>8482.0437305454543</v>
      </c>
    </row>
    <row r="17" spans="1:13" s="103" customFormat="1" x14ac:dyDescent="0.2">
      <c r="A17" s="58" t="s">
        <v>359</v>
      </c>
      <c r="B17" s="144"/>
      <c r="C17" s="145"/>
      <c r="D17" s="146">
        <f>SUM(D14:D16)</f>
        <v>24976.977817565807</v>
      </c>
      <c r="G17" s="180"/>
    </row>
    <row r="18" spans="1:13" s="132" customFormat="1" x14ac:dyDescent="0.2">
      <c r="A18" s="51"/>
      <c r="B18" s="143"/>
      <c r="C18" s="50"/>
    </row>
    <row r="19" spans="1:13" x14ac:dyDescent="0.2">
      <c r="A19" s="48" t="s">
        <v>344</v>
      </c>
      <c r="B19" s="48"/>
      <c r="C19" s="54">
        <v>1</v>
      </c>
      <c r="D19" s="51"/>
    </row>
    <row r="21" spans="1:13" x14ac:dyDescent="0.2">
      <c r="A21" s="49" t="s">
        <v>11</v>
      </c>
      <c r="B21" s="49"/>
    </row>
    <row r="22" spans="1:13" x14ac:dyDescent="0.2">
      <c r="G22" s="1" t="s">
        <v>575</v>
      </c>
    </row>
    <row r="23" spans="1:13" x14ac:dyDescent="0.2">
      <c r="A23" s="49" t="s">
        <v>12</v>
      </c>
      <c r="B23" s="49"/>
      <c r="C23" s="142">
        <v>49949</v>
      </c>
      <c r="D23" s="1" t="s">
        <v>37</v>
      </c>
      <c r="G23" s="1">
        <v>49949</v>
      </c>
      <c r="I23" t="s">
        <v>547</v>
      </c>
      <c r="J23" t="s">
        <v>548</v>
      </c>
      <c r="K23" s="230" t="s">
        <v>549</v>
      </c>
      <c r="L23" t="s">
        <v>550</v>
      </c>
      <c r="M23" t="s">
        <v>551</v>
      </c>
    </row>
    <row r="24" spans="1:13" x14ac:dyDescent="0.2">
      <c r="A24" s="49" t="s">
        <v>212</v>
      </c>
      <c r="B24" s="49"/>
      <c r="C24" s="50">
        <v>60</v>
      </c>
      <c r="D24" s="1" t="s">
        <v>55</v>
      </c>
      <c r="G24" s="53">
        <f>G23*0.25</f>
        <v>12487.25</v>
      </c>
      <c r="I24">
        <v>1</v>
      </c>
      <c r="J24" s="230">
        <f>$G$23</f>
        <v>49949</v>
      </c>
      <c r="K24" s="230">
        <f>SLN($G$23,$G$24,$G$25)</f>
        <v>7492.35</v>
      </c>
      <c r="L24" s="230">
        <f>K24</f>
        <v>7492.35</v>
      </c>
      <c r="M24" s="230">
        <f>J24-L24</f>
        <v>42456.65</v>
      </c>
    </row>
    <row r="25" spans="1:13" x14ac:dyDescent="0.2">
      <c r="A25" s="49" t="s">
        <v>13</v>
      </c>
      <c r="B25" s="49"/>
      <c r="C25" s="55">
        <v>0.25</v>
      </c>
      <c r="G25" s="1">
        <v>5</v>
      </c>
      <c r="I25">
        <v>2</v>
      </c>
      <c r="J25" s="230">
        <f>$G$23</f>
        <v>49949</v>
      </c>
      <c r="K25" s="230">
        <f>SLN($G$23,$G$24,$G$25)</f>
        <v>7492.35</v>
      </c>
      <c r="L25" s="230">
        <f>K25+L24</f>
        <v>14984.7</v>
      </c>
      <c r="M25" s="230">
        <f>J25-L25</f>
        <v>34964.300000000003</v>
      </c>
    </row>
    <row r="26" spans="1:13" x14ac:dyDescent="0.2">
      <c r="A26" s="49" t="s">
        <v>272</v>
      </c>
      <c r="B26" s="49"/>
      <c r="C26" s="22">
        <f>(C23-G24)/C24</f>
        <v>624.36249999999995</v>
      </c>
      <c r="D26" s="1" t="s">
        <v>131</v>
      </c>
      <c r="I26">
        <v>3</v>
      </c>
      <c r="J26" s="230">
        <f>$G$23</f>
        <v>49949</v>
      </c>
      <c r="K26" s="230">
        <f>SLN($G$23,$G$24,$G$25)</f>
        <v>7492.35</v>
      </c>
      <c r="L26" s="230">
        <f>K26+L25</f>
        <v>22477.050000000003</v>
      </c>
      <c r="M26" s="230">
        <f>J26-L26</f>
        <v>27471.949999999997</v>
      </c>
    </row>
    <row r="27" spans="1:13" x14ac:dyDescent="0.2">
      <c r="I27">
        <v>4</v>
      </c>
      <c r="J27" s="230">
        <f>$G$23</f>
        <v>49949</v>
      </c>
      <c r="K27" s="230">
        <f>SLN($G$23,$G$24,$G$25)</f>
        <v>7492.35</v>
      </c>
      <c r="L27" s="230">
        <f>K27+L26</f>
        <v>29969.4</v>
      </c>
      <c r="M27" s="230">
        <f>J27-L27</f>
        <v>19979.599999999999</v>
      </c>
    </row>
    <row r="28" spans="1:13" x14ac:dyDescent="0.2">
      <c r="A28" s="49" t="s">
        <v>14</v>
      </c>
      <c r="B28" s="49"/>
      <c r="I28">
        <v>5</v>
      </c>
      <c r="J28" s="230">
        <f>$G$23</f>
        <v>49949</v>
      </c>
      <c r="K28" s="230">
        <f>SLN($G$23,$G$24,$G$25)</f>
        <v>7492.35</v>
      </c>
      <c r="L28" s="230">
        <f>K28+L27</f>
        <v>37461.75</v>
      </c>
      <c r="M28" s="230">
        <f>J28-L28</f>
        <v>12487.25</v>
      </c>
    </row>
    <row r="30" spans="1:13" x14ac:dyDescent="0.2">
      <c r="A30" s="65" t="s">
        <v>19</v>
      </c>
      <c r="B30" s="56"/>
      <c r="C30" s="44">
        <f>C23</f>
        <v>49949</v>
      </c>
      <c r="D30" s="1" t="s">
        <v>37</v>
      </c>
    </row>
    <row r="31" spans="1:13" x14ac:dyDescent="0.2">
      <c r="A31" s="65" t="s">
        <v>566</v>
      </c>
      <c r="B31" s="56"/>
      <c r="C31" s="57">
        <v>9.2499999999999999E-2</v>
      </c>
    </row>
    <row r="32" spans="1:13" x14ac:dyDescent="0.2">
      <c r="A32" s="65" t="s">
        <v>21</v>
      </c>
      <c r="B32" s="56"/>
      <c r="C32" s="44">
        <f>((C30-G24)*C31)/12</f>
        <v>288.76765625000002</v>
      </c>
      <c r="D32" s="1" t="s">
        <v>131</v>
      </c>
    </row>
    <row r="33" spans="1:6" x14ac:dyDescent="0.2">
      <c r="A33" s="44" t="s">
        <v>8</v>
      </c>
      <c r="B33" s="44"/>
      <c r="C33" s="44" t="s">
        <v>8</v>
      </c>
    </row>
    <row r="34" spans="1:6" x14ac:dyDescent="0.2">
      <c r="A34" s="44" t="s">
        <v>140</v>
      </c>
      <c r="B34" s="44"/>
      <c r="C34" s="44" t="s">
        <v>8</v>
      </c>
    </row>
    <row r="36" spans="1:6" x14ac:dyDescent="0.2">
      <c r="A36" s="49" t="s">
        <v>135</v>
      </c>
      <c r="B36" s="49"/>
      <c r="C36" s="50">
        <f>DADOS!D20</f>
        <v>7.2439999999999998</v>
      </c>
      <c r="D36" s="1" t="s">
        <v>213</v>
      </c>
    </row>
    <row r="37" spans="1:6" x14ac:dyDescent="0.2">
      <c r="A37" s="49" t="s">
        <v>556</v>
      </c>
      <c r="B37" s="49"/>
      <c r="C37" s="50">
        <f>35*26</f>
        <v>910</v>
      </c>
      <c r="D37" s="1" t="s">
        <v>45</v>
      </c>
      <c r="F37" s="53"/>
    </row>
    <row r="38" spans="1:6" x14ac:dyDescent="0.2">
      <c r="A38" s="49" t="s">
        <v>136</v>
      </c>
      <c r="B38" s="49"/>
      <c r="C38" s="50">
        <v>8</v>
      </c>
      <c r="D38" s="1" t="s">
        <v>214</v>
      </c>
    </row>
    <row r="39" spans="1:6" x14ac:dyDescent="0.2">
      <c r="A39" s="51" t="s">
        <v>137</v>
      </c>
      <c r="B39" s="51"/>
      <c r="C39" s="50">
        <f>+C37/C38*C36</f>
        <v>824.005</v>
      </c>
      <c r="D39" s="1" t="s">
        <v>131</v>
      </c>
    </row>
    <row r="40" spans="1:6" x14ac:dyDescent="0.2">
      <c r="A40" s="49"/>
      <c r="B40" s="49"/>
      <c r="C40" s="50"/>
    </row>
    <row r="41" spans="1:6" x14ac:dyDescent="0.2">
      <c r="A41" s="44" t="s">
        <v>141</v>
      </c>
      <c r="B41" s="44"/>
      <c r="C41" s="44" t="s">
        <v>8</v>
      </c>
    </row>
    <row r="43" spans="1:6" x14ac:dyDescent="0.2">
      <c r="A43" s="49" t="s">
        <v>223</v>
      </c>
      <c r="B43" s="49"/>
      <c r="C43" s="50">
        <f>4*350</f>
        <v>1400</v>
      </c>
      <c r="D43" s="52" t="s">
        <v>37</v>
      </c>
    </row>
    <row r="44" spans="1:6" x14ac:dyDescent="0.2">
      <c r="A44" s="49" t="s">
        <v>138</v>
      </c>
      <c r="B44" s="49"/>
      <c r="C44" s="50">
        <v>60000</v>
      </c>
      <c r="D44" s="52" t="s">
        <v>45</v>
      </c>
    </row>
    <row r="45" spans="1:6" x14ac:dyDescent="0.2">
      <c r="A45" s="49" t="s">
        <v>553</v>
      </c>
      <c r="B45" s="49"/>
      <c r="C45" s="50">
        <f>C37</f>
        <v>910</v>
      </c>
      <c r="D45" s="1" t="s">
        <v>215</v>
      </c>
    </row>
    <row r="46" spans="1:6" x14ac:dyDescent="0.2">
      <c r="A46" s="49" t="s">
        <v>139</v>
      </c>
      <c r="B46" s="49"/>
      <c r="C46" s="50">
        <f>+C43*C45/C44</f>
        <v>21.233333333333334</v>
      </c>
      <c r="D46" s="1" t="s">
        <v>131</v>
      </c>
    </row>
    <row r="47" spans="1:6" x14ac:dyDescent="0.2">
      <c r="A47" s="44"/>
      <c r="B47" s="44"/>
      <c r="C47" s="44"/>
    </row>
    <row r="48" spans="1:6" x14ac:dyDescent="0.2">
      <c r="A48" s="51" t="s">
        <v>142</v>
      </c>
      <c r="B48" s="51"/>
    </row>
    <row r="49" spans="1:4" x14ac:dyDescent="0.2">
      <c r="A49" s="1" t="s">
        <v>7</v>
      </c>
    </row>
    <row r="50" spans="1:4" x14ac:dyDescent="0.2">
      <c r="A50" s="51" t="s">
        <v>143</v>
      </c>
      <c r="B50" s="51"/>
      <c r="C50" s="55">
        <v>0.1</v>
      </c>
    </row>
    <row r="51" spans="1:4" x14ac:dyDescent="0.2">
      <c r="A51" s="49" t="s">
        <v>144</v>
      </c>
      <c r="B51" s="49"/>
      <c r="C51" s="52">
        <f>G23</f>
        <v>49949</v>
      </c>
      <c r="D51" s="1" t="s">
        <v>37</v>
      </c>
    </row>
    <row r="52" spans="1:4" x14ac:dyDescent="0.2">
      <c r="A52" s="49" t="s">
        <v>145</v>
      </c>
      <c r="B52" s="49"/>
      <c r="C52" s="50">
        <v>12</v>
      </c>
      <c r="D52" s="1" t="s">
        <v>55</v>
      </c>
    </row>
    <row r="53" spans="1:4" x14ac:dyDescent="0.2">
      <c r="A53" s="49" t="s">
        <v>146</v>
      </c>
      <c r="B53" s="49"/>
      <c r="C53" s="50">
        <f>+C50*C51/C52</f>
        <v>416.24166666666673</v>
      </c>
      <c r="D53" s="1" t="s">
        <v>131</v>
      </c>
    </row>
    <row r="54" spans="1:4" x14ac:dyDescent="0.2">
      <c r="A54" s="49"/>
      <c r="B54" s="49"/>
      <c r="C54" s="50"/>
    </row>
    <row r="55" spans="1:4" x14ac:dyDescent="0.2">
      <c r="A55" s="49" t="s">
        <v>147</v>
      </c>
      <c r="B55" s="49"/>
      <c r="C55" s="50"/>
    </row>
    <row r="56" spans="1:4" x14ac:dyDescent="0.2">
      <c r="A56" s="51"/>
      <c r="B56" s="51"/>
      <c r="C56" s="50"/>
    </row>
    <row r="57" spans="1:4" x14ac:dyDescent="0.2">
      <c r="A57" s="51" t="s">
        <v>156</v>
      </c>
      <c r="B57" s="51"/>
      <c r="C57" s="50">
        <f>(+C23*8%)/12</f>
        <v>332.99333333333334</v>
      </c>
      <c r="D57" s="1" t="s">
        <v>131</v>
      </c>
    </row>
    <row r="58" spans="1:4" x14ac:dyDescent="0.2">
      <c r="A58" s="51" t="s">
        <v>570</v>
      </c>
      <c r="B58" s="51"/>
      <c r="C58" s="22">
        <f>(96.34+(+C23*1.5%))/12</f>
        <v>70.464583333333337</v>
      </c>
      <c r="D58" s="1" t="s">
        <v>131</v>
      </c>
    </row>
    <row r="59" spans="1:4" x14ac:dyDescent="0.2">
      <c r="A59" s="1" t="s">
        <v>148</v>
      </c>
      <c r="C59" s="52">
        <f>+C57+C58</f>
        <v>403.45791666666668</v>
      </c>
      <c r="D59" s="1" t="s">
        <v>131</v>
      </c>
    </row>
    <row r="61" spans="1:4" x14ac:dyDescent="0.2">
      <c r="A61" s="51" t="s">
        <v>149</v>
      </c>
      <c r="B61" s="51"/>
      <c r="C61" s="52">
        <f>(C59+C53+C46+C39+C32+C26)</f>
        <v>2578.068072916667</v>
      </c>
      <c r="D61" s="1" t="s">
        <v>131</v>
      </c>
    </row>
    <row r="62" spans="1:4" s="132" customFormat="1" x14ac:dyDescent="0.2">
      <c r="A62" s="51"/>
      <c r="B62" s="51"/>
      <c r="C62" s="52"/>
    </row>
    <row r="63" spans="1:4" s="132" customFormat="1" x14ac:dyDescent="0.2">
      <c r="A63" s="58" t="s">
        <v>345</v>
      </c>
      <c r="B63" s="58"/>
      <c r="C63" s="134">
        <f>C61*C19</f>
        <v>2578.068072916667</v>
      </c>
      <c r="D63" s="103" t="s">
        <v>131</v>
      </c>
    </row>
    <row r="64" spans="1:4" x14ac:dyDescent="0.2">
      <c r="A64" s="51"/>
      <c r="B64" s="51"/>
      <c r="C64" s="52"/>
    </row>
    <row r="65" spans="1:13" x14ac:dyDescent="0.2">
      <c r="A65" s="58" t="s">
        <v>240</v>
      </c>
      <c r="B65" s="58"/>
      <c r="C65" s="54">
        <v>1</v>
      </c>
      <c r="D65" s="51"/>
    </row>
    <row r="67" spans="1:13" x14ac:dyDescent="0.2">
      <c r="A67" s="49" t="s">
        <v>241</v>
      </c>
      <c r="B67" s="49"/>
    </row>
    <row r="68" spans="1:13" x14ac:dyDescent="0.2">
      <c r="F68" s="1" t="s">
        <v>571</v>
      </c>
    </row>
    <row r="69" spans="1:13" x14ac:dyDescent="0.2">
      <c r="A69" s="49" t="s">
        <v>242</v>
      </c>
      <c r="B69" s="49"/>
      <c r="C69" s="50">
        <f>G70</f>
        <v>88390</v>
      </c>
      <c r="D69" s="1" t="s">
        <v>37</v>
      </c>
    </row>
    <row r="70" spans="1:13" x14ac:dyDescent="0.2">
      <c r="A70" s="49" t="s">
        <v>243</v>
      </c>
      <c r="B70" s="49"/>
      <c r="C70" s="50">
        <v>60</v>
      </c>
      <c r="D70" s="1" t="s">
        <v>55</v>
      </c>
      <c r="G70" s="69">
        <v>88390</v>
      </c>
      <c r="H70" s="132"/>
      <c r="I70" t="s">
        <v>547</v>
      </c>
      <c r="J70" t="s">
        <v>548</v>
      </c>
      <c r="K70" s="230" t="s">
        <v>549</v>
      </c>
      <c r="L70" t="s">
        <v>550</v>
      </c>
      <c r="M70" t="s">
        <v>551</v>
      </c>
    </row>
    <row r="71" spans="1:13" x14ac:dyDescent="0.2">
      <c r="A71" s="49" t="s">
        <v>244</v>
      </c>
      <c r="B71" s="49"/>
      <c r="C71" s="55">
        <v>0.25</v>
      </c>
      <c r="G71" s="53">
        <f>G70*0.25</f>
        <v>22097.5</v>
      </c>
      <c r="H71" s="132"/>
      <c r="I71">
        <v>1</v>
      </c>
      <c r="J71" s="230">
        <f>$G$70</f>
        <v>88390</v>
      </c>
      <c r="K71" s="230">
        <f>SLN($G$70,$G$71,$G$72)</f>
        <v>13258.5</v>
      </c>
      <c r="L71" s="230">
        <f>K71</f>
        <v>13258.5</v>
      </c>
      <c r="M71" s="230">
        <f>J71-L71</f>
        <v>75131.5</v>
      </c>
    </row>
    <row r="72" spans="1:13" x14ac:dyDescent="0.2">
      <c r="A72" s="49" t="s">
        <v>273</v>
      </c>
      <c r="B72" s="49"/>
      <c r="C72" s="50">
        <f>(C69-G71)/C70</f>
        <v>1104.875</v>
      </c>
      <c r="D72" s="1" t="s">
        <v>131</v>
      </c>
      <c r="G72" s="132">
        <v>5</v>
      </c>
      <c r="H72" s="132"/>
      <c r="I72">
        <v>2</v>
      </c>
      <c r="J72" s="230">
        <f>$G$70</f>
        <v>88390</v>
      </c>
      <c r="K72" s="230">
        <f>SLN($G$23,$G$24,$G$25)</f>
        <v>7492.35</v>
      </c>
      <c r="L72" s="230">
        <f>K72+L71</f>
        <v>20750.849999999999</v>
      </c>
      <c r="M72" s="230">
        <f>J72-L72</f>
        <v>67639.149999999994</v>
      </c>
    </row>
    <row r="73" spans="1:13" x14ac:dyDescent="0.2">
      <c r="G73" s="132"/>
      <c r="H73" s="132"/>
      <c r="I73">
        <v>3</v>
      </c>
      <c r="J73" s="230">
        <f>$G$70</f>
        <v>88390</v>
      </c>
      <c r="K73" s="230">
        <f>SLN($G$23,$G$24,$G$25)</f>
        <v>7492.35</v>
      </c>
      <c r="L73" s="230">
        <f>K73+L72</f>
        <v>28243.199999999997</v>
      </c>
      <c r="M73" s="230">
        <f>J73-L73</f>
        <v>60146.8</v>
      </c>
    </row>
    <row r="74" spans="1:13" x14ac:dyDescent="0.2">
      <c r="A74" s="49" t="s">
        <v>245</v>
      </c>
      <c r="B74" s="49"/>
      <c r="G74" s="132"/>
      <c r="H74" s="132"/>
      <c r="I74">
        <v>4</v>
      </c>
      <c r="J74" s="230">
        <f>$G$70</f>
        <v>88390</v>
      </c>
      <c r="K74" s="230">
        <f>SLN($G$23,$G$24,$G$25)</f>
        <v>7492.35</v>
      </c>
      <c r="L74" s="230">
        <f>K74+L73</f>
        <v>35735.549999999996</v>
      </c>
      <c r="M74" s="230">
        <f>J74-L74</f>
        <v>52654.450000000004</v>
      </c>
    </row>
    <row r="75" spans="1:13" x14ac:dyDescent="0.2">
      <c r="G75" s="132"/>
      <c r="H75" s="132"/>
      <c r="I75">
        <v>5</v>
      </c>
      <c r="J75" s="230">
        <f>$G$70</f>
        <v>88390</v>
      </c>
      <c r="K75" s="230">
        <f>SLN($G$23,$G$24,$G$25)</f>
        <v>7492.35</v>
      </c>
      <c r="L75" s="230">
        <f>K75+L74</f>
        <v>43227.899999999994</v>
      </c>
      <c r="M75" s="230">
        <f>J75-L75</f>
        <v>45162.100000000006</v>
      </c>
    </row>
    <row r="76" spans="1:13" x14ac:dyDescent="0.2">
      <c r="A76" s="56" t="s">
        <v>246</v>
      </c>
      <c r="B76" s="56"/>
      <c r="C76" s="44">
        <f>C69</f>
        <v>88390</v>
      </c>
      <c r="D76" s="1" t="s">
        <v>37</v>
      </c>
    </row>
    <row r="77" spans="1:13" x14ac:dyDescent="0.2">
      <c r="A77" s="56" t="s">
        <v>572</v>
      </c>
      <c r="B77" s="56"/>
      <c r="C77" s="57">
        <v>9.2499999999999999E-2</v>
      </c>
    </row>
    <row r="78" spans="1:13" x14ac:dyDescent="0.2">
      <c r="A78" s="56" t="s">
        <v>247</v>
      </c>
      <c r="B78" s="56"/>
      <c r="C78" s="44">
        <f>((C76-G71)*C77)/12</f>
        <v>511.00468749999999</v>
      </c>
      <c r="D78" s="1" t="s">
        <v>131</v>
      </c>
    </row>
    <row r="79" spans="1:13" x14ac:dyDescent="0.2">
      <c r="A79" s="44" t="s">
        <v>8</v>
      </c>
      <c r="B79" s="44"/>
      <c r="C79" s="44" t="s">
        <v>8</v>
      </c>
    </row>
    <row r="80" spans="1:13" x14ac:dyDescent="0.2">
      <c r="A80" s="44" t="s">
        <v>248</v>
      </c>
      <c r="B80" s="44"/>
      <c r="C80" s="44" t="s">
        <v>8</v>
      </c>
    </row>
    <row r="82" spans="1:4" x14ac:dyDescent="0.2">
      <c r="A82" s="49" t="s">
        <v>249</v>
      </c>
      <c r="B82" s="49"/>
      <c r="C82" s="50">
        <f>DADOS!D21</f>
        <v>6.5910000000000002</v>
      </c>
      <c r="D82" s="1" t="s">
        <v>213</v>
      </c>
    </row>
    <row r="83" spans="1:4" x14ac:dyDescent="0.2">
      <c r="A83" s="49" t="s">
        <v>557</v>
      </c>
      <c r="B83" s="49"/>
      <c r="C83" s="50">
        <f>35*26</f>
        <v>910</v>
      </c>
      <c r="D83" s="1" t="s">
        <v>45</v>
      </c>
    </row>
    <row r="84" spans="1:4" x14ac:dyDescent="0.2">
      <c r="A84" s="49" t="s">
        <v>250</v>
      </c>
      <c r="B84" s="49"/>
      <c r="C84" s="50">
        <v>8</v>
      </c>
      <c r="D84" s="1" t="s">
        <v>214</v>
      </c>
    </row>
    <row r="85" spans="1:4" x14ac:dyDescent="0.2">
      <c r="A85" s="51" t="s">
        <v>251</v>
      </c>
      <c r="B85" s="51"/>
      <c r="C85" s="50">
        <f>+C83/C84*C82</f>
        <v>749.72625000000005</v>
      </c>
      <c r="D85" s="1" t="s">
        <v>131</v>
      </c>
    </row>
    <row r="86" spans="1:4" x14ac:dyDescent="0.2">
      <c r="A86" s="49"/>
      <c r="B86" s="49"/>
      <c r="C86" s="50"/>
    </row>
    <row r="87" spans="1:4" x14ac:dyDescent="0.2">
      <c r="A87" s="44" t="s">
        <v>252</v>
      </c>
      <c r="B87" s="44"/>
      <c r="C87" s="44" t="s">
        <v>8</v>
      </c>
    </row>
    <row r="89" spans="1:4" x14ac:dyDescent="0.2">
      <c r="A89" s="49" t="s">
        <v>253</v>
      </c>
      <c r="B89" s="49"/>
      <c r="C89" s="50">
        <f>439*4</f>
        <v>1756</v>
      </c>
      <c r="D89" s="52" t="s">
        <v>37</v>
      </c>
    </row>
    <row r="90" spans="1:4" x14ac:dyDescent="0.2">
      <c r="A90" s="49" t="s">
        <v>254</v>
      </c>
      <c r="B90" s="49"/>
      <c r="C90" s="50">
        <v>60000</v>
      </c>
      <c r="D90" s="52" t="s">
        <v>45</v>
      </c>
    </row>
    <row r="91" spans="1:4" x14ac:dyDescent="0.2">
      <c r="A91" s="49" t="s">
        <v>368</v>
      </c>
      <c r="B91" s="49"/>
      <c r="C91" s="50">
        <f>C83</f>
        <v>910</v>
      </c>
      <c r="D91" s="1" t="s">
        <v>215</v>
      </c>
    </row>
    <row r="92" spans="1:4" x14ac:dyDescent="0.2">
      <c r="A92" s="49" t="s">
        <v>255</v>
      </c>
      <c r="B92" s="49"/>
      <c r="C92" s="50">
        <f>+C89*C91/C90</f>
        <v>26.632666666666665</v>
      </c>
      <c r="D92" s="1" t="s">
        <v>131</v>
      </c>
    </row>
    <row r="93" spans="1:4" x14ac:dyDescent="0.2">
      <c r="A93" s="44"/>
      <c r="B93" s="44"/>
      <c r="C93" s="44"/>
    </row>
    <row r="94" spans="1:4" x14ac:dyDescent="0.2">
      <c r="A94" s="51" t="s">
        <v>256</v>
      </c>
      <c r="B94" s="51"/>
    </row>
    <row r="95" spans="1:4" x14ac:dyDescent="0.2">
      <c r="A95" s="1" t="s">
        <v>7</v>
      </c>
    </row>
    <row r="96" spans="1:4" x14ac:dyDescent="0.2">
      <c r="A96" s="51" t="s">
        <v>257</v>
      </c>
      <c r="B96" s="51"/>
      <c r="C96" s="55">
        <v>0.1</v>
      </c>
    </row>
    <row r="97" spans="1:4" x14ac:dyDescent="0.2">
      <c r="A97" s="49" t="s">
        <v>258</v>
      </c>
      <c r="B97" s="49"/>
      <c r="C97" s="52">
        <f>C76</f>
        <v>88390</v>
      </c>
      <c r="D97" s="1" t="s">
        <v>37</v>
      </c>
    </row>
    <row r="98" spans="1:4" x14ac:dyDescent="0.2">
      <c r="A98" s="49" t="s">
        <v>259</v>
      </c>
      <c r="B98" s="49"/>
      <c r="C98" s="50">
        <v>12</v>
      </c>
      <c r="D98" s="1" t="s">
        <v>55</v>
      </c>
    </row>
    <row r="99" spans="1:4" x14ac:dyDescent="0.2">
      <c r="A99" s="49" t="s">
        <v>260</v>
      </c>
      <c r="B99" s="49"/>
      <c r="C99" s="50">
        <f>+C96*C97/C98</f>
        <v>736.58333333333337</v>
      </c>
      <c r="D99" s="1" t="s">
        <v>131</v>
      </c>
    </row>
    <row r="100" spans="1:4" x14ac:dyDescent="0.2">
      <c r="A100" s="49"/>
      <c r="B100" s="49"/>
      <c r="C100" s="50"/>
    </row>
    <row r="101" spans="1:4" x14ac:dyDescent="0.2">
      <c r="A101" s="49" t="s">
        <v>261</v>
      </c>
      <c r="B101" s="49"/>
      <c r="C101" s="50"/>
    </row>
    <row r="102" spans="1:4" x14ac:dyDescent="0.2">
      <c r="A102" s="51"/>
      <c r="B102" s="51"/>
      <c r="C102" s="50"/>
    </row>
    <row r="103" spans="1:4" x14ac:dyDescent="0.2">
      <c r="A103" s="51" t="s">
        <v>262</v>
      </c>
      <c r="B103" s="51"/>
      <c r="C103" s="50">
        <f>(+C69*8%)/12</f>
        <v>589.26666666666665</v>
      </c>
      <c r="D103" s="1" t="s">
        <v>131</v>
      </c>
    </row>
    <row r="104" spans="1:4" x14ac:dyDescent="0.2">
      <c r="A104" s="51" t="s">
        <v>263</v>
      </c>
      <c r="B104" s="51"/>
      <c r="C104" s="22">
        <f>(96.34+(+C69*1.5%))/12</f>
        <v>118.51583333333332</v>
      </c>
      <c r="D104" s="1" t="s">
        <v>131</v>
      </c>
    </row>
    <row r="105" spans="1:4" x14ac:dyDescent="0.2">
      <c r="A105" s="1" t="s">
        <v>264</v>
      </c>
      <c r="C105" s="52">
        <f>+C103+C104</f>
        <v>707.78250000000003</v>
      </c>
      <c r="D105" s="1" t="s">
        <v>131</v>
      </c>
    </row>
    <row r="107" spans="1:4" x14ac:dyDescent="0.2">
      <c r="A107" s="51" t="s">
        <v>265</v>
      </c>
      <c r="B107" s="51"/>
      <c r="C107" s="52">
        <f>(C105+C99+C92+C85+C78+C72)</f>
        <v>3836.6044374999997</v>
      </c>
      <c r="D107" s="1" t="s">
        <v>131</v>
      </c>
    </row>
    <row r="108" spans="1:4" s="132" customFormat="1" x14ac:dyDescent="0.2">
      <c r="A108" s="51"/>
      <c r="B108" s="51"/>
      <c r="C108" s="52"/>
    </row>
    <row r="109" spans="1:4" s="132" customFormat="1" x14ac:dyDescent="0.2">
      <c r="A109" s="58" t="s">
        <v>346</v>
      </c>
      <c r="B109" s="58"/>
      <c r="C109" s="134">
        <f>C107*C65</f>
        <v>3836.6044374999997</v>
      </c>
      <c r="D109" s="103" t="s">
        <v>131</v>
      </c>
    </row>
    <row r="111" spans="1:4" x14ac:dyDescent="0.2">
      <c r="A111" s="58" t="s">
        <v>266</v>
      </c>
      <c r="B111" s="58"/>
      <c r="C111" s="54">
        <v>3</v>
      </c>
      <c r="D111" s="51"/>
    </row>
    <row r="113" spans="1:4" x14ac:dyDescent="0.2">
      <c r="A113" s="49" t="s">
        <v>267</v>
      </c>
      <c r="B113" s="49"/>
    </row>
    <row r="115" spans="1:4" x14ac:dyDescent="0.2">
      <c r="A115" s="49" t="s">
        <v>268</v>
      </c>
      <c r="B115" s="49"/>
      <c r="C115" s="50">
        <v>13006</v>
      </c>
      <c r="D115" s="1" t="s">
        <v>37</v>
      </c>
    </row>
    <row r="116" spans="1:4" x14ac:dyDescent="0.2">
      <c r="A116" s="49" t="s">
        <v>269</v>
      </c>
      <c r="B116" s="49"/>
      <c r="C116" s="50">
        <v>60</v>
      </c>
      <c r="D116" s="1" t="s">
        <v>55</v>
      </c>
    </row>
    <row r="117" spans="1:4" x14ac:dyDescent="0.2">
      <c r="A117" s="49" t="s">
        <v>270</v>
      </c>
      <c r="B117" s="49"/>
      <c r="C117" s="55">
        <v>0.25</v>
      </c>
    </row>
    <row r="118" spans="1:4" x14ac:dyDescent="0.2">
      <c r="A118" s="49" t="s">
        <v>271</v>
      </c>
      <c r="B118" s="49"/>
      <c r="C118" s="50">
        <f>((+C115)-(+C115*C117))/C116</f>
        <v>162.57499999999999</v>
      </c>
      <c r="D118" s="1" t="s">
        <v>131</v>
      </c>
    </row>
    <row r="120" spans="1:4" x14ac:dyDescent="0.2">
      <c r="A120" s="49" t="s">
        <v>274</v>
      </c>
      <c r="B120" s="49"/>
    </row>
    <row r="122" spans="1:4" x14ac:dyDescent="0.2">
      <c r="A122" s="56" t="s">
        <v>275</v>
      </c>
      <c r="B122" s="56"/>
      <c r="C122" s="44">
        <f>C115</f>
        <v>13006</v>
      </c>
      <c r="D122" s="1" t="s">
        <v>37</v>
      </c>
    </row>
    <row r="123" spans="1:4" x14ac:dyDescent="0.2">
      <c r="A123" s="56" t="s">
        <v>573</v>
      </c>
      <c r="B123" s="56"/>
      <c r="C123" s="57">
        <v>9.2499999999999999E-2</v>
      </c>
    </row>
    <row r="124" spans="1:4" x14ac:dyDescent="0.2">
      <c r="A124" s="56" t="s">
        <v>276</v>
      </c>
      <c r="B124" s="56"/>
      <c r="C124" s="44">
        <f>((C115-(C115*C117))*C123)/12</f>
        <v>75.190937500000004</v>
      </c>
      <c r="D124" s="1" t="s">
        <v>131</v>
      </c>
    </row>
    <row r="125" spans="1:4" x14ac:dyDescent="0.2">
      <c r="A125" s="44" t="s">
        <v>8</v>
      </c>
      <c r="B125" s="44"/>
      <c r="C125" s="44" t="s">
        <v>8</v>
      </c>
    </row>
    <row r="126" spans="1:4" x14ac:dyDescent="0.2">
      <c r="A126" s="44" t="s">
        <v>277</v>
      </c>
      <c r="B126" s="44"/>
      <c r="C126" s="44" t="s">
        <v>8</v>
      </c>
    </row>
    <row r="128" spans="1:4" x14ac:dyDescent="0.2">
      <c r="A128" s="49" t="s">
        <v>278</v>
      </c>
      <c r="B128" s="49"/>
      <c r="C128" s="50">
        <f>DADOS!D20</f>
        <v>7.2439999999999998</v>
      </c>
      <c r="D128" s="1" t="s">
        <v>213</v>
      </c>
    </row>
    <row r="129" spans="1:10" x14ac:dyDescent="0.2">
      <c r="A129" s="49" t="s">
        <v>555</v>
      </c>
      <c r="B129" s="49"/>
      <c r="C129" s="50">
        <f>50*26</f>
        <v>1300</v>
      </c>
      <c r="D129" s="1" t="s">
        <v>45</v>
      </c>
    </row>
    <row r="130" spans="1:10" x14ac:dyDescent="0.2">
      <c r="A130" s="49" t="s">
        <v>279</v>
      </c>
      <c r="B130" s="49"/>
      <c r="C130" s="50">
        <v>41.5</v>
      </c>
      <c r="D130" s="1" t="s">
        <v>214</v>
      </c>
    </row>
    <row r="131" spans="1:10" x14ac:dyDescent="0.2">
      <c r="A131" s="51" t="s">
        <v>280</v>
      </c>
      <c r="B131" s="51"/>
      <c r="C131" s="50">
        <f>+C129/C130*C128</f>
        <v>226.92048192771082</v>
      </c>
      <c r="D131" s="1" t="s">
        <v>131</v>
      </c>
    </row>
    <row r="132" spans="1:10" x14ac:dyDescent="0.2">
      <c r="A132" s="49"/>
      <c r="B132" s="49"/>
      <c r="C132" s="50"/>
    </row>
    <row r="133" spans="1:10" x14ac:dyDescent="0.2">
      <c r="A133" s="44" t="s">
        <v>281</v>
      </c>
      <c r="B133" s="44"/>
      <c r="C133" s="44" t="s">
        <v>8</v>
      </c>
    </row>
    <row r="135" spans="1:10" x14ac:dyDescent="0.2">
      <c r="A135" s="49" t="s">
        <v>282</v>
      </c>
      <c r="B135" s="49"/>
      <c r="C135" s="50">
        <f>99.9+84.9</f>
        <v>184.8</v>
      </c>
      <c r="D135" s="52" t="s">
        <v>37</v>
      </c>
    </row>
    <row r="136" spans="1:10" x14ac:dyDescent="0.2">
      <c r="A136" s="49" t="s">
        <v>283</v>
      </c>
      <c r="B136" s="49"/>
      <c r="C136" s="50">
        <v>20000</v>
      </c>
      <c r="D136" s="52" t="s">
        <v>45</v>
      </c>
    </row>
    <row r="137" spans="1:10" x14ac:dyDescent="0.2">
      <c r="A137" s="49" t="s">
        <v>554</v>
      </c>
      <c r="B137" s="49"/>
      <c r="C137" s="50">
        <f>C129</f>
        <v>1300</v>
      </c>
      <c r="D137" s="1" t="s">
        <v>215</v>
      </c>
    </row>
    <row r="138" spans="1:10" x14ac:dyDescent="0.2">
      <c r="A138" s="49" t="s">
        <v>284</v>
      </c>
      <c r="B138" s="49"/>
      <c r="C138" s="50">
        <f>+C135*C137/C136</f>
        <v>12.012000000000002</v>
      </c>
      <c r="D138" s="1" t="s">
        <v>131</v>
      </c>
    </row>
    <row r="139" spans="1:10" x14ac:dyDescent="0.2">
      <c r="A139" s="44"/>
      <c r="B139" s="44"/>
      <c r="C139" s="44"/>
    </row>
    <row r="140" spans="1:10" x14ac:dyDescent="0.2">
      <c r="A140" s="51" t="s">
        <v>285</v>
      </c>
      <c r="B140" s="51"/>
    </row>
    <row r="141" spans="1:10" x14ac:dyDescent="0.2">
      <c r="A141" s="1" t="s">
        <v>7</v>
      </c>
    </row>
    <row r="142" spans="1:10" x14ac:dyDescent="0.2">
      <c r="A142" s="51" t="s">
        <v>286</v>
      </c>
      <c r="B142" s="51"/>
      <c r="C142" s="240">
        <f>44.65%/5</f>
        <v>8.9300000000000004E-2</v>
      </c>
    </row>
    <row r="143" spans="1:10" x14ac:dyDescent="0.2">
      <c r="A143" s="49" t="s">
        <v>287</v>
      </c>
      <c r="B143" s="49"/>
      <c r="C143" s="52">
        <f>C122</f>
        <v>13006</v>
      </c>
      <c r="D143" s="1" t="s">
        <v>37</v>
      </c>
      <c r="F143" s="1">
        <v>781</v>
      </c>
      <c r="G143" s="1" t="s">
        <v>562</v>
      </c>
      <c r="H143" s="1">
        <f>8.93%</f>
        <v>8.929999999999999E-2</v>
      </c>
      <c r="J143" s="1">
        <f>H143*5</f>
        <v>0.44649999999999995</v>
      </c>
    </row>
    <row r="144" spans="1:10" x14ac:dyDescent="0.2">
      <c r="A144" s="49" t="s">
        <v>288</v>
      </c>
      <c r="B144" s="49"/>
      <c r="C144" s="50">
        <v>12</v>
      </c>
      <c r="D144" s="1" t="s">
        <v>55</v>
      </c>
    </row>
    <row r="145" spans="1:7" x14ac:dyDescent="0.2">
      <c r="A145" s="49" t="s">
        <v>289</v>
      </c>
      <c r="B145" s="49"/>
      <c r="C145" s="50">
        <f>+C142*C143/C144</f>
        <v>96.786316666666664</v>
      </c>
      <c r="D145" s="1" t="s">
        <v>131</v>
      </c>
    </row>
    <row r="146" spans="1:7" x14ac:dyDescent="0.2">
      <c r="A146" s="49"/>
      <c r="B146" s="49"/>
      <c r="C146" s="50"/>
    </row>
    <row r="147" spans="1:7" x14ac:dyDescent="0.2">
      <c r="A147" s="49" t="s">
        <v>290</v>
      </c>
      <c r="B147" s="49"/>
      <c r="C147" s="50"/>
    </row>
    <row r="148" spans="1:7" x14ac:dyDescent="0.2">
      <c r="A148" s="51"/>
      <c r="B148" s="51"/>
      <c r="C148" s="50"/>
    </row>
    <row r="149" spans="1:7" x14ac:dyDescent="0.2">
      <c r="A149" s="51" t="s">
        <v>291</v>
      </c>
      <c r="B149" s="51"/>
      <c r="C149" s="50">
        <f>(+C115*8%)/12</f>
        <v>86.706666666666663</v>
      </c>
      <c r="D149" s="1" t="s">
        <v>131</v>
      </c>
    </row>
    <row r="150" spans="1:7" x14ac:dyDescent="0.2">
      <c r="A150" s="51" t="s">
        <v>292</v>
      </c>
      <c r="B150" s="51"/>
      <c r="C150" s="50">
        <v>8.58</v>
      </c>
      <c r="D150" s="1" t="s">
        <v>131</v>
      </c>
    </row>
    <row r="151" spans="1:7" x14ac:dyDescent="0.2">
      <c r="A151" s="1" t="s">
        <v>293</v>
      </c>
      <c r="C151" s="52">
        <f>+C149+C150</f>
        <v>95.286666666666662</v>
      </c>
      <c r="D151" s="1" t="s">
        <v>131</v>
      </c>
    </row>
    <row r="153" spans="1:7" x14ac:dyDescent="0.2">
      <c r="A153" s="51" t="s">
        <v>294</v>
      </c>
      <c r="B153" s="51"/>
      <c r="C153" s="52">
        <f>(C151+C145+C138+C131+C124+C118)</f>
        <v>668.7714027610441</v>
      </c>
      <c r="D153" s="1" t="s">
        <v>131</v>
      </c>
    </row>
    <row r="154" spans="1:7" s="132" customFormat="1" x14ac:dyDescent="0.2">
      <c r="A154" s="51"/>
      <c r="B154" s="51"/>
      <c r="C154" s="52"/>
    </row>
    <row r="155" spans="1:7" s="132" customFormat="1" x14ac:dyDescent="0.2">
      <c r="A155" s="58" t="s">
        <v>347</v>
      </c>
      <c r="B155" s="58"/>
      <c r="C155" s="134">
        <f>C153*C111</f>
        <v>2006.3142082831323</v>
      </c>
      <c r="D155" s="103" t="s">
        <v>131</v>
      </c>
      <c r="G155" s="179"/>
    </row>
    <row r="157" spans="1:7" x14ac:dyDescent="0.2">
      <c r="A157" s="48" t="s">
        <v>348</v>
      </c>
      <c r="B157" s="48"/>
    </row>
    <row r="158" spans="1:7" x14ac:dyDescent="0.2">
      <c r="A158" s="49"/>
      <c r="B158" s="49"/>
    </row>
    <row r="159" spans="1:7" x14ac:dyDescent="0.2">
      <c r="A159" s="49" t="s">
        <v>349</v>
      </c>
      <c r="B159" s="49"/>
      <c r="C159" s="50">
        <v>6000</v>
      </c>
      <c r="D159" s="1" t="s">
        <v>131</v>
      </c>
      <c r="F159" s="59"/>
    </row>
    <row r="160" spans="1:7" s="132" customFormat="1" hidden="1" x14ac:dyDescent="0.2">
      <c r="A160" s="49" t="s">
        <v>542</v>
      </c>
      <c r="B160" s="49"/>
      <c r="C160" s="50"/>
      <c r="D160" s="132" t="s">
        <v>131</v>
      </c>
      <c r="F160" s="59"/>
    </row>
    <row r="161" spans="1:17" x14ac:dyDescent="0.2">
      <c r="A161" s="49" t="s">
        <v>543</v>
      </c>
      <c r="B161" s="49"/>
      <c r="C161" s="50">
        <v>500</v>
      </c>
      <c r="D161" s="1" t="s">
        <v>131</v>
      </c>
      <c r="F161" s="59"/>
    </row>
    <row r="162" spans="1:17" x14ac:dyDescent="0.2">
      <c r="A162" s="51" t="s">
        <v>544</v>
      </c>
      <c r="B162" s="51"/>
      <c r="C162" s="50">
        <v>300</v>
      </c>
      <c r="D162" s="1" t="s">
        <v>131</v>
      </c>
      <c r="F162" s="59"/>
    </row>
    <row r="163" spans="1:17" x14ac:dyDescent="0.2">
      <c r="A163" s="359" t="s">
        <v>545</v>
      </c>
      <c r="B163" s="359"/>
      <c r="C163" s="50">
        <v>8500</v>
      </c>
      <c r="D163" s="1" t="s">
        <v>131</v>
      </c>
      <c r="F163" s="59"/>
    </row>
    <row r="164" spans="1:17" x14ac:dyDescent="0.2">
      <c r="A164" s="49" t="s">
        <v>546</v>
      </c>
      <c r="B164" s="49"/>
      <c r="C164" s="50">
        <f>SUM(C159:C163)</f>
        <v>15300</v>
      </c>
      <c r="D164" s="1" t="s">
        <v>131</v>
      </c>
    </row>
    <row r="165" spans="1:17" x14ac:dyDescent="0.2">
      <c r="A165" s="49"/>
      <c r="B165" s="49"/>
      <c r="C165" s="50"/>
    </row>
    <row r="166" spans="1:17" x14ac:dyDescent="0.2">
      <c r="A166" s="60" t="s">
        <v>470</v>
      </c>
      <c r="B166" s="60"/>
      <c r="C166" s="61">
        <f>D17+C63+C109+C155+C164</f>
        <v>48697.964536265601</v>
      </c>
      <c r="D166" s="62" t="s">
        <v>131</v>
      </c>
      <c r="G166" s="179"/>
    </row>
    <row r="167" spans="1:17" s="47" customFormat="1" x14ac:dyDescent="0.2">
      <c r="A167" s="212"/>
      <c r="B167" s="212"/>
      <c r="C167" s="213"/>
      <c r="D167" s="214"/>
      <c r="G167" s="215"/>
    </row>
    <row r="168" spans="1:17" x14ac:dyDescent="0.2">
      <c r="A168" s="217" t="s">
        <v>468</v>
      </c>
      <c r="B168" s="218">
        <f>CAPINAÇÃO!B86</f>
        <v>0.29712344612244879</v>
      </c>
      <c r="C168" s="219">
        <f>C166*B168</f>
        <v>14469.307042164033</v>
      </c>
      <c r="D168" s="216" t="str">
        <f>D166</f>
        <v>R$/mês</v>
      </c>
      <c r="E168" s="122"/>
      <c r="F168" s="165"/>
      <c r="G168" s="122"/>
    </row>
    <row r="169" spans="1:17" s="47" customFormat="1" x14ac:dyDescent="0.2">
      <c r="A169" s="221"/>
      <c r="B169" s="212"/>
      <c r="C169" s="213"/>
      <c r="D169" s="214"/>
      <c r="G169" s="215"/>
    </row>
    <row r="170" spans="1:17" s="47" customFormat="1" x14ac:dyDescent="0.2">
      <c r="A170" s="175" t="s">
        <v>469</v>
      </c>
      <c r="B170" s="130"/>
      <c r="C170" s="220">
        <f>C166+C168</f>
        <v>63167.271578429631</v>
      </c>
      <c r="D170" s="122" t="s">
        <v>37</v>
      </c>
      <c r="E170" s="122"/>
      <c r="G170" s="215"/>
    </row>
    <row r="171" spans="1:17" s="47" customFormat="1" x14ac:dyDescent="0.2">
      <c r="A171" s="131" t="s">
        <v>471</v>
      </c>
      <c r="B171" s="122"/>
      <c r="C171" s="122">
        <v>1</v>
      </c>
      <c r="D171" s="122" t="s">
        <v>473</v>
      </c>
      <c r="E171" s="122"/>
      <c r="G171" s="215"/>
    </row>
    <row r="172" spans="1:17" s="47" customFormat="1" x14ac:dyDescent="0.2">
      <c r="A172" s="131" t="s">
        <v>472</v>
      </c>
      <c r="B172" s="122"/>
      <c r="C172" s="122">
        <f>ROUND(C170/C171,2)</f>
        <v>63167.27</v>
      </c>
      <c r="D172" s="122" t="str">
        <f>D166</f>
        <v>R$/mês</v>
      </c>
      <c r="E172" s="122"/>
      <c r="G172" s="215"/>
    </row>
    <row r="173" spans="1:17" s="103" customFormat="1" hidden="1" x14ac:dyDescent="0.2">
      <c r="A173" s="44"/>
      <c r="B173" s="44"/>
      <c r="C173" s="44"/>
      <c r="D173" s="44"/>
      <c r="E173" s="44"/>
      <c r="F173" s="44"/>
      <c r="G173" s="44"/>
      <c r="H173" s="40"/>
      <c r="I173" s="69">
        <f>[4]BDI!C129</f>
        <v>0</v>
      </c>
      <c r="O173" s="174"/>
      <c r="Q173" s="146"/>
    </row>
    <row r="174" spans="1:17" s="11" customFormat="1" hidden="1" x14ac:dyDescent="0.2">
      <c r="A174" s="175" t="s">
        <v>392</v>
      </c>
      <c r="B174" s="130"/>
      <c r="C174" s="130"/>
      <c r="D174" s="122">
        <f>D165*BDI!C125</f>
        <v>0</v>
      </c>
      <c r="E174" s="122"/>
      <c r="F174" s="165"/>
      <c r="G174" s="122"/>
      <c r="H174" s="16"/>
    </row>
    <row r="175" spans="1:17" s="11" customFormat="1" hidden="1" x14ac:dyDescent="0.2">
      <c r="A175" s="131" t="s">
        <v>309</v>
      </c>
      <c r="B175" s="122"/>
      <c r="C175" s="122"/>
      <c r="D175" s="122">
        <v>1654</v>
      </c>
      <c r="E175" s="122"/>
      <c r="F175" s="165"/>
      <c r="G175" s="122"/>
      <c r="H175" s="16"/>
      <c r="I175" s="89">
        <f>1-[5]Plan1!$A$17</f>
        <v>0.91349999999999998</v>
      </c>
      <c r="J175" s="11">
        <f>20*30</f>
        <v>600</v>
      </c>
      <c r="K175" s="11">
        <f>10*30</f>
        <v>300</v>
      </c>
      <c r="M175" s="11">
        <f>110*9</f>
        <v>990</v>
      </c>
    </row>
    <row r="176" spans="1:17" x14ac:dyDescent="0.2">
      <c r="A176" s="131"/>
      <c r="B176" s="122"/>
      <c r="C176" s="122"/>
      <c r="D176" s="122"/>
      <c r="E176" s="122"/>
      <c r="F176" s="165"/>
      <c r="G176" s="122"/>
    </row>
    <row r="180" spans="3:3" x14ac:dyDescent="0.2">
      <c r="C180" s="16"/>
    </row>
    <row r="181" spans="3:3" x14ac:dyDescent="0.2">
      <c r="C181" s="155"/>
    </row>
    <row r="182" spans="3:3" x14ac:dyDescent="0.2">
      <c r="C182" s="13"/>
    </row>
    <row r="183" spans="3:3" x14ac:dyDescent="0.2">
      <c r="C183" s="96"/>
    </row>
  </sheetData>
  <mergeCells count="5">
    <mergeCell ref="A1:C1"/>
    <mergeCell ref="A2:C2"/>
    <mergeCell ref="A4:C4"/>
    <mergeCell ref="A8:C8"/>
    <mergeCell ref="A163:B163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rowBreaks count="2" manualBreakCount="2">
    <brk id="63" max="3" man="1"/>
    <brk id="118" max="3" man="1"/>
  </rowBreaks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30"/>
  <sheetViews>
    <sheetView view="pageBreakPreview" topLeftCell="A3" workbookViewId="0">
      <selection activeCell="C27" sqref="C27"/>
    </sheetView>
  </sheetViews>
  <sheetFormatPr defaultColWidth="9.33203125" defaultRowHeight="15" customHeight="1" x14ac:dyDescent="0.2"/>
  <cols>
    <col min="1" max="1" width="9.33203125" style="11"/>
    <col min="2" max="2" width="40.83203125" style="11" customWidth="1"/>
    <col min="3" max="9" width="15.6640625" style="11" customWidth="1"/>
    <col min="10" max="10" width="15.6640625" style="63" customWidth="1"/>
    <col min="11" max="16384" width="9.33203125" style="11"/>
  </cols>
  <sheetData>
    <row r="1" spans="1:11" ht="15" hidden="1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6"/>
      <c r="K1" s="13"/>
    </row>
    <row r="2" spans="1:11" ht="15" hidden="1" customHeight="1" x14ac:dyDescent="0.2">
      <c r="A2" s="360"/>
      <c r="B2" s="360"/>
      <c r="C2" s="360"/>
      <c r="D2" s="360"/>
      <c r="E2" s="360"/>
      <c r="F2" s="360"/>
      <c r="G2" s="360"/>
      <c r="H2" s="360"/>
      <c r="I2" s="109"/>
    </row>
    <row r="4" spans="1:11" s="108" customFormat="1" ht="25.5" x14ac:dyDescent="0.2">
      <c r="A4" s="110" t="s">
        <v>96</v>
      </c>
      <c r="B4" s="110" t="s">
        <v>97</v>
      </c>
      <c r="C4" s="110" t="s">
        <v>594</v>
      </c>
      <c r="D4" s="110" t="s">
        <v>677</v>
      </c>
      <c r="E4" s="110" t="s">
        <v>681</v>
      </c>
      <c r="F4" s="110" t="s">
        <v>682</v>
      </c>
      <c r="G4" s="110" t="s">
        <v>680</v>
      </c>
      <c r="H4" s="110" t="s">
        <v>132</v>
      </c>
      <c r="I4" s="110" t="s">
        <v>218</v>
      </c>
      <c r="J4" s="246" t="s">
        <v>217</v>
      </c>
    </row>
    <row r="5" spans="1:11" ht="15" customHeight="1" x14ac:dyDescent="0.2">
      <c r="A5" s="111">
        <v>1</v>
      </c>
      <c r="B5" s="112" t="s">
        <v>98</v>
      </c>
      <c r="C5" s="113"/>
      <c r="D5" s="113"/>
      <c r="E5" s="113"/>
      <c r="F5" s="113">
        <v>241.5</v>
      </c>
      <c r="G5" s="113">
        <f>AVERAGEIF(C5:F5,"&gt;0")</f>
        <v>241.5</v>
      </c>
      <c r="H5" s="114">
        <v>3</v>
      </c>
      <c r="I5" s="114">
        <v>1</v>
      </c>
      <c r="J5" s="113">
        <f>(I5*G5)/H5</f>
        <v>80.5</v>
      </c>
    </row>
    <row r="6" spans="1:11" ht="15" customHeight="1" x14ac:dyDescent="0.2">
      <c r="A6" s="111">
        <v>2</v>
      </c>
      <c r="B6" s="112" t="s">
        <v>580</v>
      </c>
      <c r="C6" s="113">
        <v>46.9</v>
      </c>
      <c r="D6" s="113"/>
      <c r="E6" s="113"/>
      <c r="F6" s="113">
        <v>39.9</v>
      </c>
      <c r="G6" s="113">
        <f t="shared" ref="G6:G30" si="0">AVERAGEIF(C6:F6,"&gt;0")</f>
        <v>43.4</v>
      </c>
      <c r="H6" s="114">
        <v>3</v>
      </c>
      <c r="I6" s="114">
        <v>1</v>
      </c>
      <c r="J6" s="113">
        <f t="shared" ref="J6:J28" si="1">(I6*G6)/H6</f>
        <v>14.466666666666667</v>
      </c>
    </row>
    <row r="7" spans="1:11" ht="15" customHeight="1" x14ac:dyDescent="0.2">
      <c r="A7" s="111">
        <v>3</v>
      </c>
      <c r="B7" s="112" t="s">
        <v>99</v>
      </c>
      <c r="C7" s="113"/>
      <c r="D7" s="113"/>
      <c r="E7" s="113"/>
      <c r="F7" s="113">
        <v>69.900000000000006</v>
      </c>
      <c r="G7" s="113">
        <f t="shared" si="0"/>
        <v>69.900000000000006</v>
      </c>
      <c r="H7" s="114">
        <v>3</v>
      </c>
      <c r="I7" s="114">
        <v>1</v>
      </c>
      <c r="J7" s="113">
        <f t="shared" si="1"/>
        <v>23.3</v>
      </c>
    </row>
    <row r="8" spans="1:11" ht="15" customHeight="1" x14ac:dyDescent="0.2">
      <c r="A8" s="111">
        <v>4</v>
      </c>
      <c r="B8" s="112" t="s">
        <v>100</v>
      </c>
      <c r="C8" s="113">
        <v>29.9</v>
      </c>
      <c r="D8" s="113"/>
      <c r="E8" s="113"/>
      <c r="F8" s="113">
        <v>34.99</v>
      </c>
      <c r="G8" s="113">
        <f t="shared" si="0"/>
        <v>32.445</v>
      </c>
      <c r="H8" s="114">
        <v>1</v>
      </c>
      <c r="I8" s="114">
        <v>1</v>
      </c>
      <c r="J8" s="113">
        <f t="shared" si="1"/>
        <v>32.445</v>
      </c>
    </row>
    <row r="9" spans="1:11" ht="15" customHeight="1" x14ac:dyDescent="0.2">
      <c r="A9" s="111">
        <v>5</v>
      </c>
      <c r="B9" s="112" t="s">
        <v>101</v>
      </c>
      <c r="C9" s="113">
        <v>74.099999999999994</v>
      </c>
      <c r="D9" s="113">
        <v>64.900000000000006</v>
      </c>
      <c r="E9" s="113"/>
      <c r="F9" s="113">
        <v>84.9</v>
      </c>
      <c r="G9" s="113">
        <f t="shared" si="0"/>
        <v>74.63333333333334</v>
      </c>
      <c r="H9" s="114">
        <v>3</v>
      </c>
      <c r="I9" s="114">
        <v>1</v>
      </c>
      <c r="J9" s="113">
        <f t="shared" si="1"/>
        <v>24.87777777777778</v>
      </c>
    </row>
    <row r="10" spans="1:11" ht="15" customHeight="1" x14ac:dyDescent="0.2">
      <c r="A10" s="111">
        <v>6</v>
      </c>
      <c r="B10" s="112" t="s">
        <v>110</v>
      </c>
      <c r="C10" s="113">
        <v>421.9</v>
      </c>
      <c r="D10" s="113">
        <v>262</v>
      </c>
      <c r="E10" s="113"/>
      <c r="F10" s="113">
        <v>399.9</v>
      </c>
      <c r="G10" s="113">
        <f t="shared" si="0"/>
        <v>361.26666666666665</v>
      </c>
      <c r="H10" s="114">
        <v>4</v>
      </c>
      <c r="I10" s="114">
        <v>1</v>
      </c>
      <c r="J10" s="113">
        <f t="shared" si="1"/>
        <v>90.316666666666663</v>
      </c>
    </row>
    <row r="11" spans="1:11" ht="15" customHeight="1" x14ac:dyDescent="0.2">
      <c r="A11" s="111">
        <v>7</v>
      </c>
      <c r="B11" s="112" t="s">
        <v>85</v>
      </c>
      <c r="C11" s="113"/>
      <c r="D11" s="113"/>
      <c r="E11" s="113"/>
      <c r="F11" s="113">
        <v>399</v>
      </c>
      <c r="G11" s="113">
        <f t="shared" si="0"/>
        <v>399</v>
      </c>
      <c r="H11" s="114">
        <v>12</v>
      </c>
      <c r="I11" s="114">
        <v>1</v>
      </c>
      <c r="J11" s="113">
        <f t="shared" si="1"/>
        <v>33.25</v>
      </c>
    </row>
    <row r="12" spans="1:11" ht="15" customHeight="1" x14ac:dyDescent="0.2">
      <c r="A12" s="111">
        <v>8</v>
      </c>
      <c r="B12" s="112" t="s">
        <v>111</v>
      </c>
      <c r="C12" s="113">
        <v>45.9</v>
      </c>
      <c r="D12" s="113">
        <v>59.9</v>
      </c>
      <c r="E12" s="113"/>
      <c r="F12" s="113">
        <v>119.9</v>
      </c>
      <c r="G12" s="113">
        <f t="shared" si="0"/>
        <v>75.233333333333334</v>
      </c>
      <c r="H12" s="114">
        <v>12</v>
      </c>
      <c r="I12" s="114">
        <v>1</v>
      </c>
      <c r="J12" s="113">
        <f t="shared" si="1"/>
        <v>6.2694444444444448</v>
      </c>
    </row>
    <row r="13" spans="1:11" ht="15" customHeight="1" x14ac:dyDescent="0.2">
      <c r="A13" s="111">
        <v>9</v>
      </c>
      <c r="B13" s="112" t="s">
        <v>103</v>
      </c>
      <c r="C13" s="113">
        <v>8.9</v>
      </c>
      <c r="D13" s="113">
        <v>12.14</v>
      </c>
      <c r="E13" s="113"/>
      <c r="F13" s="113">
        <v>22.9</v>
      </c>
      <c r="G13" s="113">
        <f t="shared" si="0"/>
        <v>14.646666666666667</v>
      </c>
      <c r="H13" s="114">
        <v>1</v>
      </c>
      <c r="I13" s="114">
        <v>1</v>
      </c>
      <c r="J13" s="113">
        <f t="shared" si="1"/>
        <v>14.646666666666667</v>
      </c>
    </row>
    <row r="14" spans="1:11" ht="15" customHeight="1" x14ac:dyDescent="0.2">
      <c r="A14" s="111">
        <v>10</v>
      </c>
      <c r="B14" s="112" t="s">
        <v>104</v>
      </c>
      <c r="C14" s="113"/>
      <c r="D14" s="113"/>
      <c r="E14" s="113"/>
      <c r="F14" s="113">
        <v>69.900000000000006</v>
      </c>
      <c r="G14" s="113">
        <f t="shared" si="0"/>
        <v>69.900000000000006</v>
      </c>
      <c r="H14" s="114">
        <v>3</v>
      </c>
      <c r="I14" s="114">
        <v>1</v>
      </c>
      <c r="J14" s="113">
        <f t="shared" si="1"/>
        <v>23.3</v>
      </c>
    </row>
    <row r="15" spans="1:11" ht="15" customHeight="1" x14ac:dyDescent="0.2">
      <c r="A15" s="111">
        <v>11</v>
      </c>
      <c r="B15" s="112" t="s">
        <v>105</v>
      </c>
      <c r="C15" s="113">
        <v>135.9</v>
      </c>
      <c r="D15" s="113"/>
      <c r="E15" s="113"/>
      <c r="F15" s="113">
        <v>145.9</v>
      </c>
      <c r="G15" s="113">
        <f t="shared" si="0"/>
        <v>140.9</v>
      </c>
      <c r="H15" s="114">
        <v>12</v>
      </c>
      <c r="I15" s="114">
        <v>1</v>
      </c>
      <c r="J15" s="113">
        <f t="shared" si="1"/>
        <v>11.741666666666667</v>
      </c>
    </row>
    <row r="16" spans="1:11" ht="15" customHeight="1" x14ac:dyDescent="0.2">
      <c r="A16" s="111">
        <v>12</v>
      </c>
      <c r="B16" s="112" t="s">
        <v>106</v>
      </c>
      <c r="C16" s="113">
        <v>54.9</v>
      </c>
      <c r="D16" s="113"/>
      <c r="E16" s="113"/>
      <c r="F16" s="113">
        <v>37.9</v>
      </c>
      <c r="G16" s="113">
        <f t="shared" si="0"/>
        <v>46.4</v>
      </c>
      <c r="H16" s="114">
        <v>3</v>
      </c>
      <c r="I16" s="114">
        <v>1</v>
      </c>
      <c r="J16" s="113">
        <f t="shared" si="1"/>
        <v>15.466666666666667</v>
      </c>
    </row>
    <row r="17" spans="1:10" ht="15" customHeight="1" x14ac:dyDescent="0.2">
      <c r="A17" s="115" t="s">
        <v>164</v>
      </c>
      <c r="B17" s="112" t="s">
        <v>107</v>
      </c>
      <c r="C17" s="113"/>
      <c r="D17" s="113"/>
      <c r="E17" s="113"/>
      <c r="F17" s="113">
        <v>69.900000000000006</v>
      </c>
      <c r="G17" s="113">
        <f t="shared" si="0"/>
        <v>69.900000000000006</v>
      </c>
      <c r="H17" s="114">
        <v>3</v>
      </c>
      <c r="I17" s="114">
        <v>1</v>
      </c>
      <c r="J17" s="113">
        <f t="shared" si="1"/>
        <v>23.3</v>
      </c>
    </row>
    <row r="18" spans="1:10" ht="15" customHeight="1" x14ac:dyDescent="0.2">
      <c r="A18" s="115" t="s">
        <v>165</v>
      </c>
      <c r="B18" s="112" t="s">
        <v>219</v>
      </c>
      <c r="C18" s="113">
        <v>3630</v>
      </c>
      <c r="D18" s="113"/>
      <c r="E18" s="113"/>
      <c r="F18" s="113"/>
      <c r="G18" s="113">
        <f t="shared" si="0"/>
        <v>3630</v>
      </c>
      <c r="H18" s="114">
        <v>24</v>
      </c>
      <c r="I18" s="114">
        <v>1</v>
      </c>
      <c r="J18" s="113">
        <f t="shared" si="1"/>
        <v>151.25</v>
      </c>
    </row>
    <row r="19" spans="1:10" ht="15" customHeight="1" x14ac:dyDescent="0.2">
      <c r="A19" s="115" t="s">
        <v>166</v>
      </c>
      <c r="B19" s="112" t="s">
        <v>108</v>
      </c>
      <c r="C19" s="113"/>
      <c r="D19" s="113"/>
      <c r="E19" s="113"/>
      <c r="F19" s="113">
        <f>440/1000</f>
        <v>0.44</v>
      </c>
      <c r="G19" s="113">
        <f t="shared" si="0"/>
        <v>0.44</v>
      </c>
      <c r="H19" s="114" t="s">
        <v>73</v>
      </c>
      <c r="I19" s="114"/>
      <c r="J19" s="113">
        <f>G19</f>
        <v>0.44</v>
      </c>
    </row>
    <row r="20" spans="1:10" ht="15" customHeight="1" x14ac:dyDescent="0.2">
      <c r="A20" s="115" t="s">
        <v>167</v>
      </c>
      <c r="B20" s="112" t="s">
        <v>125</v>
      </c>
      <c r="C20" s="113"/>
      <c r="D20" s="113"/>
      <c r="E20" s="113"/>
      <c r="F20" s="113">
        <v>7.39</v>
      </c>
      <c r="G20" s="113">
        <f t="shared" si="0"/>
        <v>7.39</v>
      </c>
      <c r="H20" s="114" t="s">
        <v>73</v>
      </c>
      <c r="I20" s="114"/>
      <c r="J20" s="113">
        <f>G20</f>
        <v>7.39</v>
      </c>
    </row>
    <row r="21" spans="1:10" ht="15" customHeight="1" x14ac:dyDescent="0.2">
      <c r="A21" s="115" t="s">
        <v>168</v>
      </c>
      <c r="B21" s="112" t="s">
        <v>109</v>
      </c>
      <c r="C21" s="113">
        <v>34.9</v>
      </c>
      <c r="D21" s="113"/>
      <c r="E21" s="113"/>
      <c r="F21" s="113">
        <v>34.9</v>
      </c>
      <c r="G21" s="113">
        <f t="shared" si="0"/>
        <v>34.9</v>
      </c>
      <c r="H21" s="114">
        <v>12</v>
      </c>
      <c r="I21" s="114">
        <v>1</v>
      </c>
      <c r="J21" s="113">
        <f t="shared" si="1"/>
        <v>2.9083333333333332</v>
      </c>
    </row>
    <row r="22" spans="1:10" ht="15" customHeight="1" x14ac:dyDescent="0.2">
      <c r="A22" s="115" t="s">
        <v>169</v>
      </c>
      <c r="B22" s="112" t="s">
        <v>207</v>
      </c>
      <c r="C22" s="113"/>
      <c r="D22" s="113"/>
      <c r="E22" s="113">
        <v>110</v>
      </c>
      <c r="F22" s="113"/>
      <c r="G22" s="113">
        <f t="shared" si="0"/>
        <v>110</v>
      </c>
      <c r="H22" s="114">
        <v>4</v>
      </c>
      <c r="I22" s="114">
        <v>2</v>
      </c>
      <c r="J22" s="113">
        <f t="shared" si="1"/>
        <v>55</v>
      </c>
    </row>
    <row r="23" spans="1:10" ht="15" customHeight="1" x14ac:dyDescent="0.2">
      <c r="A23" s="115">
        <v>19</v>
      </c>
      <c r="B23" s="112" t="s">
        <v>206</v>
      </c>
      <c r="C23" s="113"/>
      <c r="D23" s="113"/>
      <c r="E23" s="113">
        <v>110</v>
      </c>
      <c r="F23" s="113"/>
      <c r="G23" s="113">
        <f t="shared" si="0"/>
        <v>110</v>
      </c>
      <c r="H23" s="114">
        <v>4</v>
      </c>
      <c r="I23" s="114">
        <v>2</v>
      </c>
      <c r="J23" s="113">
        <f t="shared" si="1"/>
        <v>55</v>
      </c>
    </row>
    <row r="24" spans="1:10" ht="15" customHeight="1" x14ac:dyDescent="0.2">
      <c r="A24" s="115">
        <v>20</v>
      </c>
      <c r="B24" s="112" t="s">
        <v>220</v>
      </c>
      <c r="C24" s="113">
        <v>12.6</v>
      </c>
      <c r="D24" s="113"/>
      <c r="E24" s="326">
        <v>6</v>
      </c>
      <c r="F24" s="113">
        <v>11.9</v>
      </c>
      <c r="G24" s="113">
        <f t="shared" si="0"/>
        <v>10.166666666666666</v>
      </c>
      <c r="H24" s="114">
        <v>2</v>
      </c>
      <c r="I24" s="114">
        <v>1</v>
      </c>
      <c r="J24" s="113">
        <f t="shared" si="1"/>
        <v>5.083333333333333</v>
      </c>
    </row>
    <row r="25" spans="1:10" ht="15" customHeight="1" x14ac:dyDescent="0.2">
      <c r="A25" s="115">
        <v>21</v>
      </c>
      <c r="B25" s="112" t="s">
        <v>221</v>
      </c>
      <c r="C25" s="113">
        <v>3.79</v>
      </c>
      <c r="D25" s="113"/>
      <c r="E25" s="113">
        <v>5</v>
      </c>
      <c r="F25" s="113">
        <v>6.9</v>
      </c>
      <c r="G25" s="113">
        <f t="shared" si="0"/>
        <v>5.2299999999999995</v>
      </c>
      <c r="H25" s="114">
        <v>2</v>
      </c>
      <c r="I25" s="114">
        <v>1</v>
      </c>
      <c r="J25" s="113">
        <f t="shared" si="1"/>
        <v>2.6149999999999998</v>
      </c>
    </row>
    <row r="26" spans="1:10" ht="15" customHeight="1" x14ac:dyDescent="0.2">
      <c r="A26" s="115">
        <v>22</v>
      </c>
      <c r="B26" s="112" t="s">
        <v>208</v>
      </c>
      <c r="C26" s="113">
        <v>75.900000000000006</v>
      </c>
      <c r="D26" s="113"/>
      <c r="E26" s="113">
        <v>55</v>
      </c>
      <c r="F26" s="113">
        <v>52.9</v>
      </c>
      <c r="G26" s="113">
        <f t="shared" si="0"/>
        <v>61.266666666666673</v>
      </c>
      <c r="H26" s="114">
        <v>4</v>
      </c>
      <c r="I26" s="114">
        <v>1</v>
      </c>
      <c r="J26" s="113">
        <f t="shared" si="1"/>
        <v>15.316666666666668</v>
      </c>
    </row>
    <row r="27" spans="1:10" ht="15" customHeight="1" x14ac:dyDescent="0.2">
      <c r="A27" s="115">
        <v>23</v>
      </c>
      <c r="B27" s="112" t="s">
        <v>209</v>
      </c>
      <c r="C27" s="113">
        <v>75.900000000000006</v>
      </c>
      <c r="D27" s="113"/>
      <c r="E27" s="113">
        <v>67</v>
      </c>
      <c r="F27" s="113">
        <v>197.9</v>
      </c>
      <c r="G27" s="113">
        <f t="shared" si="0"/>
        <v>113.60000000000001</v>
      </c>
      <c r="H27" s="114">
        <v>4</v>
      </c>
      <c r="I27" s="114">
        <v>1</v>
      </c>
      <c r="J27" s="113">
        <f t="shared" si="1"/>
        <v>28.400000000000002</v>
      </c>
    </row>
    <row r="28" spans="1:10" ht="15" customHeight="1" x14ac:dyDescent="0.2">
      <c r="A28" s="115">
        <v>24</v>
      </c>
      <c r="B28" s="112" t="s">
        <v>437</v>
      </c>
      <c r="C28" s="113"/>
      <c r="D28" s="113"/>
      <c r="E28" s="113"/>
      <c r="F28" s="113">
        <v>501.41</v>
      </c>
      <c r="G28" s="113">
        <f t="shared" si="0"/>
        <v>501.41</v>
      </c>
      <c r="H28" s="114">
        <v>12</v>
      </c>
      <c r="I28" s="114">
        <v>1</v>
      </c>
      <c r="J28" s="113">
        <f t="shared" si="1"/>
        <v>41.784166666666671</v>
      </c>
    </row>
    <row r="29" spans="1:10" ht="15" customHeight="1" x14ac:dyDescent="0.2">
      <c r="A29" s="115">
        <v>25</v>
      </c>
      <c r="B29" s="112" t="s">
        <v>495</v>
      </c>
      <c r="C29" s="113"/>
      <c r="D29" s="113"/>
      <c r="E29" s="113"/>
      <c r="F29" s="113">
        <v>0.75</v>
      </c>
      <c r="G29" s="113">
        <f t="shared" si="0"/>
        <v>0.75</v>
      </c>
      <c r="H29" s="112"/>
      <c r="I29" s="112"/>
      <c r="J29" s="113">
        <v>0.35</v>
      </c>
    </row>
    <row r="30" spans="1:10" ht="12.75" x14ac:dyDescent="0.2">
      <c r="A30" s="111">
        <v>26</v>
      </c>
      <c r="B30" s="112" t="s">
        <v>683</v>
      </c>
      <c r="C30" s="112"/>
      <c r="D30" s="112">
        <v>6.63</v>
      </c>
      <c r="E30" s="112">
        <v>10</v>
      </c>
      <c r="F30" s="112">
        <v>14.9</v>
      </c>
      <c r="G30" s="113">
        <f t="shared" si="0"/>
        <v>10.51</v>
      </c>
      <c r="H30" s="247">
        <v>6</v>
      </c>
      <c r="I30" s="247">
        <v>1</v>
      </c>
      <c r="J30" s="113">
        <f t="shared" ref="J30" si="2">(I30*G30)/H30</f>
        <v>1.7516666666666667</v>
      </c>
    </row>
  </sheetData>
  <mergeCells count="1">
    <mergeCell ref="A2:H2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landscape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56"/>
  <sheetViews>
    <sheetView view="pageBreakPreview" topLeftCell="A13" workbookViewId="0">
      <selection activeCell="F42" sqref="F42:F43"/>
    </sheetView>
  </sheetViews>
  <sheetFormatPr defaultColWidth="9.33203125" defaultRowHeight="18" customHeight="1" x14ac:dyDescent="0.2"/>
  <cols>
    <col min="1" max="1" width="70.83203125" style="1" customWidth="1"/>
    <col min="2" max="2" width="18.33203125" style="1" customWidth="1"/>
    <col min="3" max="16384" width="9.33203125" style="1"/>
  </cols>
  <sheetData>
    <row r="1" spans="1:2" ht="45" customHeight="1" x14ac:dyDescent="0.2">
      <c r="A1" s="361" t="s">
        <v>676</v>
      </c>
      <c r="B1" s="361"/>
    </row>
    <row r="2" spans="1:2" ht="15" customHeight="1" x14ac:dyDescent="0.2">
      <c r="A2" s="132"/>
      <c r="B2" s="132"/>
    </row>
    <row r="3" spans="1:2" s="105" customFormat="1" ht="15" customHeight="1" x14ac:dyDescent="0.2">
      <c r="A3" s="2" t="s">
        <v>231</v>
      </c>
      <c r="B3" s="2" t="s">
        <v>232</v>
      </c>
    </row>
    <row r="4" spans="1:2" s="105" customFormat="1" ht="15" customHeight="1" x14ac:dyDescent="0.2">
      <c r="A4" s="3"/>
      <c r="B4" s="3"/>
    </row>
    <row r="5" spans="1:2" s="105" customFormat="1" ht="15" customHeight="1" x14ac:dyDescent="0.2">
      <c r="A5" s="4" t="s">
        <v>233</v>
      </c>
      <c r="B5" s="3"/>
    </row>
    <row r="6" spans="1:2" s="105" customFormat="1" ht="15" customHeight="1" x14ac:dyDescent="0.2">
      <c r="A6" s="3" t="s">
        <v>330</v>
      </c>
      <c r="B6" s="5">
        <v>20</v>
      </c>
    </row>
    <row r="7" spans="1:2" s="105" customFormat="1" ht="15" customHeight="1" x14ac:dyDescent="0.2">
      <c r="A7" s="3" t="s">
        <v>331</v>
      </c>
      <c r="B7" s="5">
        <v>8</v>
      </c>
    </row>
    <row r="8" spans="1:2" s="105" customFormat="1" ht="15" customHeight="1" x14ac:dyDescent="0.2">
      <c r="A8" s="3" t="s">
        <v>398</v>
      </c>
      <c r="B8" s="5">
        <v>0.6</v>
      </c>
    </row>
    <row r="9" spans="1:2" s="105" customFormat="1" ht="15" customHeight="1" x14ac:dyDescent="0.2">
      <c r="A9" s="3" t="s">
        <v>396</v>
      </c>
      <c r="B9" s="5">
        <v>1.5</v>
      </c>
    </row>
    <row r="10" spans="1:2" s="105" customFormat="1" ht="15" customHeight="1" x14ac:dyDescent="0.2">
      <c r="A10" s="3" t="s">
        <v>397</v>
      </c>
      <c r="B10" s="5">
        <v>1</v>
      </c>
    </row>
    <row r="11" spans="1:2" s="105" customFormat="1" ht="15" customHeight="1" x14ac:dyDescent="0.2">
      <c r="A11" s="3" t="s">
        <v>332</v>
      </c>
      <c r="B11" s="5">
        <f>[6]memória!B26</f>
        <v>0.2</v>
      </c>
    </row>
    <row r="12" spans="1:2" s="105" customFormat="1" ht="15" customHeight="1" x14ac:dyDescent="0.2">
      <c r="A12" s="3" t="s">
        <v>333</v>
      </c>
      <c r="B12" s="5">
        <v>2.5</v>
      </c>
    </row>
    <row r="13" spans="1:2" s="105" customFormat="1" ht="15" customHeight="1" x14ac:dyDescent="0.2">
      <c r="A13" s="3" t="s">
        <v>334</v>
      </c>
      <c r="B13" s="5">
        <f>[6]memória!B28</f>
        <v>3</v>
      </c>
    </row>
    <row r="14" spans="1:2" s="105" customFormat="1" ht="15" customHeight="1" x14ac:dyDescent="0.2">
      <c r="A14" s="7" t="s">
        <v>224</v>
      </c>
      <c r="B14" s="8">
        <f>SUM(B6:B13)</f>
        <v>36.799999999999997</v>
      </c>
    </row>
    <row r="15" spans="1:2" s="105" customFormat="1" ht="15" customHeight="1" x14ac:dyDescent="0.2">
      <c r="A15" s="3"/>
      <c r="B15" s="3"/>
    </row>
    <row r="16" spans="1:2" s="105" customFormat="1" ht="15" customHeight="1" x14ac:dyDescent="0.2">
      <c r="A16" s="7" t="s">
        <v>405</v>
      </c>
      <c r="B16" s="3"/>
    </row>
    <row r="17" spans="1:5" s="105" customFormat="1" ht="15" customHeight="1" x14ac:dyDescent="0.2">
      <c r="A17" s="3" t="s">
        <v>399</v>
      </c>
      <c r="B17" s="5">
        <v>8.0500000000000007</v>
      </c>
      <c r="E17" s="106"/>
    </row>
    <row r="18" spans="1:5" s="105" customFormat="1" ht="15" customHeight="1" x14ac:dyDescent="0.2">
      <c r="A18" s="3" t="s">
        <v>335</v>
      </c>
      <c r="B18" s="5">
        <v>2.68</v>
      </c>
    </row>
    <row r="19" spans="1:5" s="105" customFormat="1" ht="15" customHeight="1" x14ac:dyDescent="0.2">
      <c r="A19" s="3" t="s">
        <v>400</v>
      </c>
      <c r="B19" s="5">
        <v>0.1</v>
      </c>
    </row>
    <row r="20" spans="1:5" s="105" customFormat="1" ht="15" customHeight="1" x14ac:dyDescent="0.2">
      <c r="A20" s="3" t="s">
        <v>401</v>
      </c>
      <c r="B20" s="5">
        <v>0.01</v>
      </c>
    </row>
    <row r="21" spans="1:5" s="105" customFormat="1" ht="15" customHeight="1" x14ac:dyDescent="0.2">
      <c r="A21" s="3" t="s">
        <v>402</v>
      </c>
      <c r="B21" s="5">
        <v>0.02</v>
      </c>
    </row>
    <row r="22" spans="1:5" s="105" customFormat="1" ht="15" customHeight="1" x14ac:dyDescent="0.2">
      <c r="A22" s="3" t="s">
        <v>403</v>
      </c>
      <c r="B22" s="5">
        <v>0.57999999999999996</v>
      </c>
    </row>
    <row r="23" spans="1:5" s="195" customFormat="1" ht="15" customHeight="1" x14ac:dyDescent="0.2">
      <c r="A23" s="3" t="s">
        <v>404</v>
      </c>
      <c r="B23" s="5">
        <v>0.39</v>
      </c>
    </row>
    <row r="24" spans="1:5" s="105" customFormat="1" ht="15" customHeight="1" x14ac:dyDescent="0.2">
      <c r="A24" s="7" t="s">
        <v>224</v>
      </c>
      <c r="B24" s="8">
        <f>SUM(B17:B23)</f>
        <v>11.83</v>
      </c>
    </row>
    <row r="25" spans="1:5" s="105" customFormat="1" ht="15" customHeight="1" x14ac:dyDescent="0.2">
      <c r="A25" s="3"/>
      <c r="B25" s="3"/>
    </row>
    <row r="26" spans="1:5" s="105" customFormat="1" ht="15" customHeight="1" x14ac:dyDescent="0.2">
      <c r="A26" s="7" t="s">
        <v>406</v>
      </c>
      <c r="B26" s="3"/>
    </row>
    <row r="27" spans="1:5" s="105" customFormat="1" ht="15" customHeight="1" x14ac:dyDescent="0.2">
      <c r="A27" s="3" t="s">
        <v>407</v>
      </c>
      <c r="B27" s="5">
        <v>2.68</v>
      </c>
    </row>
    <row r="28" spans="1:5" s="105" customFormat="1" ht="15" customHeight="1" x14ac:dyDescent="0.2">
      <c r="A28" s="3" t="s">
        <v>336</v>
      </c>
      <c r="B28" s="5">
        <v>9.31</v>
      </c>
    </row>
    <row r="29" spans="1:5" s="195" customFormat="1" ht="15" customHeight="1" x14ac:dyDescent="0.2">
      <c r="A29" s="3" t="s">
        <v>408</v>
      </c>
      <c r="B29" s="5">
        <v>0.14000000000000001</v>
      </c>
    </row>
    <row r="30" spans="1:5" s="105" customFormat="1" ht="15" customHeight="1" x14ac:dyDescent="0.2">
      <c r="A30" s="7" t="s">
        <v>224</v>
      </c>
      <c r="B30" s="8">
        <f ca="1">SUM(B27:B34)</f>
        <v>12.13</v>
      </c>
    </row>
    <row r="31" spans="1:5" s="105" customFormat="1" ht="15" customHeight="1" x14ac:dyDescent="0.2">
      <c r="A31" s="3"/>
      <c r="B31" s="3"/>
    </row>
    <row r="32" spans="1:5" s="105" customFormat="1" ht="15" customHeight="1" x14ac:dyDescent="0.2">
      <c r="A32" s="7" t="s">
        <v>409</v>
      </c>
      <c r="B32" s="3"/>
    </row>
    <row r="33" spans="1:2" s="105" customFormat="1" ht="15" customHeight="1" x14ac:dyDescent="0.2">
      <c r="A33" s="3" t="s">
        <v>410</v>
      </c>
      <c r="B33" s="5">
        <v>2.42</v>
      </c>
    </row>
    <row r="34" spans="1:2" s="195" customFormat="1" ht="15" customHeight="1" x14ac:dyDescent="0.2">
      <c r="A34" s="3" t="s">
        <v>584</v>
      </c>
      <c r="B34" s="5">
        <v>0.89</v>
      </c>
    </row>
    <row r="35" spans="1:2" s="105" customFormat="1" ht="15" customHeight="1" x14ac:dyDescent="0.2">
      <c r="A35" s="3" t="s">
        <v>585</v>
      </c>
      <c r="B35" s="5">
        <v>0.64</v>
      </c>
    </row>
    <row r="36" spans="1:2" s="105" customFormat="1" ht="15" customHeight="1" x14ac:dyDescent="0.2">
      <c r="A36" s="6" t="s">
        <v>586</v>
      </c>
      <c r="B36" s="5">
        <v>4.0199999999999996</v>
      </c>
    </row>
    <row r="37" spans="1:2" s="105" customFormat="1" ht="15" customHeight="1" x14ac:dyDescent="0.2">
      <c r="A37" s="6" t="s">
        <v>411</v>
      </c>
      <c r="B37" s="5">
        <v>1.01</v>
      </c>
    </row>
    <row r="38" spans="1:2" s="105" customFormat="1" ht="15" customHeight="1" x14ac:dyDescent="0.2">
      <c r="A38" s="3" t="s">
        <v>337</v>
      </c>
      <c r="B38" s="5">
        <v>0.28000000000000003</v>
      </c>
    </row>
    <row r="39" spans="1:2" s="195" customFormat="1" ht="15" customHeight="1" x14ac:dyDescent="0.2">
      <c r="A39" s="3" t="s">
        <v>587</v>
      </c>
      <c r="B39" s="5">
        <v>0.99</v>
      </c>
    </row>
    <row r="40" spans="1:2" s="195" customFormat="1" ht="15" customHeight="1" x14ac:dyDescent="0.2">
      <c r="A40" s="3" t="s">
        <v>588</v>
      </c>
      <c r="B40" s="5">
        <v>0.33</v>
      </c>
    </row>
    <row r="41" spans="1:2" s="105" customFormat="1" ht="15" customHeight="1" x14ac:dyDescent="0.2">
      <c r="A41" s="7" t="s">
        <v>224</v>
      </c>
      <c r="B41" s="8">
        <f>SUM(B33:B40)</f>
        <v>10.58</v>
      </c>
    </row>
    <row r="42" spans="1:2" s="105" customFormat="1" ht="15" customHeight="1" x14ac:dyDescent="0.2">
      <c r="A42" s="3"/>
      <c r="B42" s="3"/>
    </row>
    <row r="43" spans="1:2" s="105" customFormat="1" ht="15" customHeight="1" x14ac:dyDescent="0.2">
      <c r="A43" s="7" t="s">
        <v>342</v>
      </c>
      <c r="B43" s="3"/>
    </row>
    <row r="44" spans="1:2" s="105" customFormat="1" ht="15" customHeight="1" x14ac:dyDescent="0.2">
      <c r="A44" s="6" t="s">
        <v>412</v>
      </c>
      <c r="B44" s="5">
        <v>0.28000000000000003</v>
      </c>
    </row>
    <row r="45" spans="1:2" s="105" customFormat="1" ht="15" customHeight="1" x14ac:dyDescent="0.2">
      <c r="A45" s="6" t="s">
        <v>413</v>
      </c>
      <c r="B45" s="5">
        <v>0.09</v>
      </c>
    </row>
    <row r="46" spans="1:2" s="105" customFormat="1" ht="15" customHeight="1" x14ac:dyDescent="0.2">
      <c r="A46" s="7" t="s">
        <v>224</v>
      </c>
      <c r="B46" s="8">
        <f>SUM(B44:B45)</f>
        <v>0.37</v>
      </c>
    </row>
    <row r="47" spans="1:2" s="105" customFormat="1" ht="15" customHeight="1" x14ac:dyDescent="0.2">
      <c r="A47" s="3"/>
      <c r="B47" s="3"/>
    </row>
    <row r="48" spans="1:2" s="105" customFormat="1" ht="15" customHeight="1" x14ac:dyDescent="0.2">
      <c r="A48" s="7" t="s">
        <v>414</v>
      </c>
      <c r="B48" s="3"/>
    </row>
    <row r="49" spans="1:5" s="105" customFormat="1" ht="15" customHeight="1" x14ac:dyDescent="0.2">
      <c r="A49" s="3" t="s">
        <v>589</v>
      </c>
      <c r="B49" s="5">
        <v>0.26</v>
      </c>
    </row>
    <row r="50" spans="1:5" s="195" customFormat="1" ht="15" customHeight="1" x14ac:dyDescent="0.2">
      <c r="A50" s="3" t="s">
        <v>415</v>
      </c>
      <c r="B50" s="5">
        <v>0.02</v>
      </c>
    </row>
    <row r="51" spans="1:5" s="195" customFormat="1" ht="15" customHeight="1" x14ac:dyDescent="0.2">
      <c r="A51" s="3" t="s">
        <v>416</v>
      </c>
      <c r="B51" s="5">
        <v>0.19</v>
      </c>
    </row>
    <row r="52" spans="1:5" s="195" customFormat="1" ht="15" customHeight="1" x14ac:dyDescent="0.2">
      <c r="A52" s="3" t="s">
        <v>590</v>
      </c>
      <c r="B52" s="5">
        <v>8.82</v>
      </c>
    </row>
    <row r="53" spans="1:5" s="195" customFormat="1" ht="15" hidden="1" customHeight="1" x14ac:dyDescent="0.2">
      <c r="A53" s="3" t="s">
        <v>417</v>
      </c>
      <c r="B53" s="5"/>
    </row>
    <row r="54" spans="1:5" s="105" customFormat="1" ht="15" customHeight="1" x14ac:dyDescent="0.2">
      <c r="A54" s="7" t="s">
        <v>224</v>
      </c>
      <c r="B54" s="8">
        <f>SUM(B49:B53)</f>
        <v>9.2900000000000009</v>
      </c>
      <c r="E54" s="106"/>
    </row>
    <row r="55" spans="1:5" s="105" customFormat="1" ht="15" customHeight="1" x14ac:dyDescent="0.2">
      <c r="A55" s="3"/>
      <c r="B55" s="3"/>
    </row>
    <row r="56" spans="1:5" s="107" customFormat="1" ht="15" customHeight="1" x14ac:dyDescent="0.2">
      <c r="A56" s="7" t="s">
        <v>229</v>
      </c>
      <c r="B56" s="8">
        <v>81</v>
      </c>
    </row>
  </sheetData>
  <mergeCells count="1">
    <mergeCell ref="A1:B1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22"/>
  <sheetViews>
    <sheetView view="pageBreakPreview" topLeftCell="A9" zoomScaleSheetLayoutView="100" workbookViewId="0">
      <selection activeCell="G4" sqref="G4"/>
    </sheetView>
  </sheetViews>
  <sheetFormatPr defaultColWidth="9.33203125" defaultRowHeight="18" customHeight="1" x14ac:dyDescent="0.2"/>
  <cols>
    <col min="1" max="1" width="70.83203125" style="185" customWidth="1"/>
    <col min="2" max="2" width="10.83203125" style="192" customWidth="1"/>
    <col min="3" max="3" width="14.83203125" style="191" customWidth="1"/>
    <col min="4" max="6" width="9.33203125" style="185"/>
    <col min="7" max="7" width="32.33203125" style="185" customWidth="1"/>
    <col min="8" max="9" width="9.33203125" style="185"/>
    <col min="10" max="10" width="12.6640625" style="194" customWidth="1"/>
    <col min="11" max="11" width="12.6640625" style="185" customWidth="1"/>
    <col min="12" max="16384" width="9.33203125" style="185"/>
  </cols>
  <sheetData>
    <row r="1" spans="1:11" ht="18" customHeight="1" x14ac:dyDescent="0.2">
      <c r="A1" s="181" t="s">
        <v>372</v>
      </c>
      <c r="B1" s="182"/>
      <c r="C1" s="183"/>
    </row>
    <row r="2" spans="1:11" ht="18" customHeight="1" x14ac:dyDescent="0.2">
      <c r="A2" s="184"/>
      <c r="B2" s="182"/>
      <c r="C2" s="183"/>
    </row>
    <row r="3" spans="1:11" ht="32.1" customHeight="1" x14ac:dyDescent="0.2">
      <c r="A3" s="363" t="s">
        <v>373</v>
      </c>
      <c r="B3" s="363" t="s">
        <v>374</v>
      </c>
      <c r="C3" s="364" t="s">
        <v>375</v>
      </c>
    </row>
    <row r="4" spans="1:11" s="186" customFormat="1" ht="32.1" customHeight="1" x14ac:dyDescent="0.2">
      <c r="A4" s="363"/>
      <c r="B4" s="363"/>
      <c r="C4" s="364"/>
      <c r="J4" s="234"/>
    </row>
    <row r="5" spans="1:11" ht="22.15" customHeight="1" x14ac:dyDescent="0.2">
      <c r="A5" s="187" t="s">
        <v>376</v>
      </c>
      <c r="B5" s="188" t="s">
        <v>377</v>
      </c>
      <c r="C5" s="201">
        <v>1.2</v>
      </c>
      <c r="J5" s="194">
        <f>C5/100</f>
        <v>1.2E-2</v>
      </c>
      <c r="K5" s="194">
        <f>1+J5</f>
        <v>1.012</v>
      </c>
    </row>
    <row r="6" spans="1:11" ht="22.15" customHeight="1" x14ac:dyDescent="0.2">
      <c r="A6" s="187" t="s">
        <v>378</v>
      </c>
      <c r="B6" s="188" t="s">
        <v>379</v>
      </c>
      <c r="C6" s="201">
        <v>0</v>
      </c>
      <c r="J6" s="194">
        <f t="shared" ref="J6:J9" si="0">C6/100</f>
        <v>0</v>
      </c>
      <c r="K6" s="194">
        <f t="shared" ref="K6:K9" si="1">1+J6</f>
        <v>1</v>
      </c>
    </row>
    <row r="7" spans="1:11" ht="22.15" customHeight="1" x14ac:dyDescent="0.2">
      <c r="A7" s="187" t="s">
        <v>380</v>
      </c>
      <c r="B7" s="188" t="s">
        <v>381</v>
      </c>
      <c r="C7" s="201">
        <v>0.2</v>
      </c>
      <c r="J7" s="194">
        <f t="shared" si="0"/>
        <v>2E-3</v>
      </c>
      <c r="K7" s="194">
        <f t="shared" si="1"/>
        <v>1.002</v>
      </c>
    </row>
    <row r="8" spans="1:11" ht="22.15" customHeight="1" x14ac:dyDescent="0.2">
      <c r="A8" s="187" t="s">
        <v>382</v>
      </c>
      <c r="B8" s="188" t="s">
        <v>383</v>
      </c>
      <c r="C8" s="201">
        <v>0.1</v>
      </c>
      <c r="J8" s="194">
        <f t="shared" si="0"/>
        <v>1E-3</v>
      </c>
      <c r="K8" s="194">
        <f t="shared" si="1"/>
        <v>1.0009999999999999</v>
      </c>
    </row>
    <row r="9" spans="1:11" ht="22.15" customHeight="1" x14ac:dyDescent="0.2">
      <c r="A9" s="187" t="s">
        <v>384</v>
      </c>
      <c r="B9" s="188" t="s">
        <v>385</v>
      </c>
      <c r="C9" s="201">
        <v>0.5363</v>
      </c>
      <c r="F9" s="185" t="s">
        <v>576</v>
      </c>
      <c r="G9" s="191">
        <v>5</v>
      </c>
      <c r="J9" s="194">
        <f t="shared" si="0"/>
        <v>5.3629999999999997E-3</v>
      </c>
      <c r="K9" s="194">
        <f t="shared" si="1"/>
        <v>1.005363</v>
      </c>
    </row>
    <row r="10" spans="1:11" ht="22.15" customHeight="1" x14ac:dyDescent="0.2">
      <c r="A10" s="187" t="s">
        <v>386</v>
      </c>
      <c r="B10" s="188" t="s">
        <v>387</v>
      </c>
      <c r="C10" s="201">
        <v>9</v>
      </c>
      <c r="F10" s="185" t="s">
        <v>577</v>
      </c>
      <c r="G10" s="191">
        <v>7.6</v>
      </c>
      <c r="K10" s="235">
        <f>K5*K6*K7*K8*K9</f>
        <v>1.020481672922712</v>
      </c>
    </row>
    <row r="11" spans="1:11" ht="22.15" customHeight="1" x14ac:dyDescent="0.2">
      <c r="A11" s="187" t="s">
        <v>388</v>
      </c>
      <c r="B11" s="188" t="s">
        <v>389</v>
      </c>
      <c r="C11" s="201">
        <v>14.25</v>
      </c>
      <c r="F11" s="185" t="s">
        <v>578</v>
      </c>
      <c r="G11" s="191">
        <v>1.65</v>
      </c>
      <c r="K11" s="235">
        <f>(K5+K6+K7+K8)*K9</f>
        <v>4.0365324450000006</v>
      </c>
    </row>
    <row r="12" spans="1:11" ht="45" customHeight="1" x14ac:dyDescent="0.2">
      <c r="A12" s="189"/>
      <c r="B12" s="233" t="s">
        <v>390</v>
      </c>
      <c r="C12" s="190">
        <f>((((1+((C5/100+C6/100+C7/100+C8/100)))*(1+C9/100)*(1+C10/100))/(1-C11/100))-1)*100</f>
        <v>29.712344612244877</v>
      </c>
      <c r="G12" s="191">
        <f>SUM(G9:G11)</f>
        <v>14.25</v>
      </c>
    </row>
    <row r="13" spans="1:11" ht="36" customHeight="1" x14ac:dyDescent="0.2">
      <c r="A13" s="362"/>
      <c r="B13" s="362"/>
      <c r="C13" s="362"/>
    </row>
    <row r="14" spans="1:11" ht="18" customHeight="1" x14ac:dyDescent="0.2">
      <c r="A14"/>
      <c r="B14" s="186"/>
    </row>
    <row r="15" spans="1:11" ht="18" customHeight="1" x14ac:dyDescent="0.2">
      <c r="C15"/>
    </row>
    <row r="16" spans="1:11" ht="18" customHeight="1" x14ac:dyDescent="0.2">
      <c r="A16" s="185" t="s">
        <v>8</v>
      </c>
      <c r="C16" s="193"/>
    </row>
    <row r="17" spans="3:3" ht="18" customHeight="1" x14ac:dyDescent="0.2">
      <c r="C17" s="193">
        <f>(((1+((C5/100+C6/100+C7/100+C8/100)))*(1+C9/100)*(1+C10/100)))</f>
        <v>1.11228335505</v>
      </c>
    </row>
    <row r="18" spans="3:3" ht="18" customHeight="1" x14ac:dyDescent="0.2">
      <c r="C18" s="193">
        <f>(1-C11/100)</f>
        <v>0.85750000000000004</v>
      </c>
    </row>
    <row r="20" spans="3:3" ht="18" customHeight="1" x14ac:dyDescent="0.2">
      <c r="C20" s="194">
        <f>1+C12/100</f>
        <v>1.2971234461224488</v>
      </c>
    </row>
    <row r="21" spans="3:3" ht="18" customHeight="1" x14ac:dyDescent="0.2">
      <c r="C21" s="194"/>
    </row>
    <row r="22" spans="3:3" ht="18" customHeight="1" x14ac:dyDescent="0.2">
      <c r="C22"/>
    </row>
  </sheetData>
  <mergeCells count="4">
    <mergeCell ref="A13:C13"/>
    <mergeCell ref="A3:A4"/>
    <mergeCell ref="B3:B4"/>
    <mergeCell ref="C3:C4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0"/>
  <sheetViews>
    <sheetView view="pageBreakPreview" topLeftCell="A49" workbookViewId="0">
      <selection activeCell="G17" sqref="G17"/>
    </sheetView>
  </sheetViews>
  <sheetFormatPr defaultColWidth="12" defaultRowHeight="12.75" x14ac:dyDescent="0.2"/>
  <cols>
    <col min="1" max="1" width="58.33203125" style="11" customWidth="1"/>
    <col min="2" max="2" width="21.1640625" style="11" customWidth="1"/>
    <col min="3" max="16384" width="12" style="11"/>
  </cols>
  <sheetData>
    <row r="1" spans="1:8" ht="18.75" hidden="1" x14ac:dyDescent="0.3">
      <c r="A1" s="338" t="s">
        <v>226</v>
      </c>
      <c r="B1" s="338"/>
      <c r="C1" s="9"/>
      <c r="D1" s="9"/>
      <c r="E1" s="9"/>
      <c r="F1" s="10"/>
    </row>
    <row r="2" spans="1:8" ht="18" hidden="1" customHeight="1" x14ac:dyDescent="0.25">
      <c r="A2" s="338"/>
      <c r="B2" s="338"/>
      <c r="C2" s="9"/>
      <c r="D2" s="9"/>
      <c r="E2" s="9"/>
      <c r="F2" s="12"/>
    </row>
    <row r="3" spans="1:8" hidden="1" x14ac:dyDescent="0.2">
      <c r="A3" s="13"/>
      <c r="B3" s="13"/>
      <c r="C3" s="13"/>
      <c r="D3" s="13"/>
      <c r="E3" s="13"/>
      <c r="F3" s="13"/>
    </row>
    <row r="4" spans="1:8" hidden="1" x14ac:dyDescent="0.2">
      <c r="A4" s="13"/>
      <c r="B4" s="13"/>
      <c r="C4" s="13"/>
      <c r="D4" s="13"/>
      <c r="E4" s="13"/>
      <c r="F4" s="13"/>
    </row>
    <row r="5" spans="1:8" hidden="1" x14ac:dyDescent="0.2">
      <c r="A5" s="14" t="s">
        <v>227</v>
      </c>
      <c r="B5" s="14" t="s">
        <v>222</v>
      </c>
      <c r="C5" s="13"/>
      <c r="E5" s="13"/>
      <c r="F5" s="13"/>
    </row>
    <row r="6" spans="1:8" x14ac:dyDescent="0.2">
      <c r="A6" s="12"/>
      <c r="B6" s="13"/>
      <c r="C6" s="13"/>
      <c r="D6" s="13"/>
      <c r="E6" s="13"/>
    </row>
    <row r="7" spans="1:8" x14ac:dyDescent="0.2">
      <c r="A7" s="339" t="s">
        <v>0</v>
      </c>
      <c r="B7" s="339"/>
      <c r="C7" s="15"/>
      <c r="D7" s="15"/>
      <c r="E7" s="15"/>
    </row>
    <row r="8" spans="1:8" x14ac:dyDescent="0.2">
      <c r="A8" s="16"/>
      <c r="B8" s="16"/>
      <c r="C8" s="16"/>
      <c r="D8" s="16"/>
    </row>
    <row r="9" spans="1:8" x14ac:dyDescent="0.2">
      <c r="A9" s="137" t="s">
        <v>350</v>
      </c>
      <c r="B9" s="18"/>
      <c r="C9" s="18"/>
      <c r="D9" s="18"/>
      <c r="E9" s="19"/>
    </row>
    <row r="11" spans="1:8" x14ac:dyDescent="0.2">
      <c r="A11" s="20" t="s">
        <v>1</v>
      </c>
      <c r="H11" s="63"/>
    </row>
    <row r="13" spans="1:8" x14ac:dyDescent="0.2">
      <c r="A13" s="21" t="s">
        <v>2</v>
      </c>
      <c r="B13" s="22">
        <f>DADOS!D5</f>
        <v>1221.6199999999999</v>
      </c>
      <c r="C13" s="11" t="s">
        <v>131</v>
      </c>
      <c r="H13" s="63"/>
    </row>
    <row r="14" spans="1:8" x14ac:dyDescent="0.2">
      <c r="A14" s="21" t="s">
        <v>3</v>
      </c>
      <c r="B14" s="22">
        <f>DADOS!D4*40%</f>
        <v>484.8</v>
      </c>
      <c r="C14" s="11" t="s">
        <v>131</v>
      </c>
      <c r="H14" s="63"/>
    </row>
    <row r="15" spans="1:8" x14ac:dyDescent="0.2">
      <c r="A15" s="23" t="s">
        <v>4</v>
      </c>
      <c r="B15" s="22">
        <f>SUM(B13:B14)</f>
        <v>1706.4199999999998</v>
      </c>
      <c r="C15" s="11" t="s">
        <v>131</v>
      </c>
      <c r="H15" s="63"/>
    </row>
    <row r="16" spans="1:8" x14ac:dyDescent="0.2">
      <c r="A16" s="21" t="s">
        <v>5</v>
      </c>
      <c r="B16" s="24">
        <f>Encargos!B56</f>
        <v>81</v>
      </c>
      <c r="C16" s="11" t="s">
        <v>232</v>
      </c>
    </row>
    <row r="17" spans="1:8" x14ac:dyDescent="0.2">
      <c r="A17" s="21" t="s">
        <v>6</v>
      </c>
      <c r="B17" s="22">
        <f>+B15+(B15*(B16/100))</f>
        <v>3088.6201999999998</v>
      </c>
      <c r="C17" s="11" t="s">
        <v>131</v>
      </c>
      <c r="G17" s="11">
        <f>25000/8</f>
        <v>3125</v>
      </c>
      <c r="H17" s="63"/>
    </row>
    <row r="19" spans="1:8" x14ac:dyDescent="0.2">
      <c r="A19" s="20" t="s">
        <v>90</v>
      </c>
      <c r="H19" s="63"/>
    </row>
    <row r="20" spans="1:8" x14ac:dyDescent="0.2">
      <c r="A20" s="11" t="s">
        <v>7</v>
      </c>
      <c r="C20" s="16"/>
      <c r="D20" s="16"/>
    </row>
    <row r="21" spans="1:8" x14ac:dyDescent="0.2">
      <c r="A21" s="21" t="s">
        <v>112</v>
      </c>
      <c r="B21" s="22">
        <f>B22+B23+B24+B25+B26</f>
        <v>80.059999999999988</v>
      </c>
      <c r="C21" s="11" t="s">
        <v>131</v>
      </c>
      <c r="D21" s="16"/>
    </row>
    <row r="22" spans="1:8" x14ac:dyDescent="0.2">
      <c r="A22" s="21" t="s">
        <v>158</v>
      </c>
      <c r="B22" s="22">
        <f>PREÇOS!J22</f>
        <v>55</v>
      </c>
      <c r="C22" s="11" t="s">
        <v>131</v>
      </c>
      <c r="D22" s="16"/>
    </row>
    <row r="23" spans="1:8" x14ac:dyDescent="0.2">
      <c r="A23" s="21" t="s">
        <v>210</v>
      </c>
      <c r="B23" s="22">
        <f>PREÇOS!J26</f>
        <v>15.316666666666668</v>
      </c>
      <c r="C23" s="11" t="s">
        <v>131</v>
      </c>
      <c r="D23" s="16"/>
    </row>
    <row r="24" spans="1:8" x14ac:dyDescent="0.2">
      <c r="A24" s="23" t="s">
        <v>159</v>
      </c>
      <c r="B24" s="22">
        <f>PREÇOS!J24</f>
        <v>5.083333333333333</v>
      </c>
      <c r="C24" s="11" t="s">
        <v>131</v>
      </c>
      <c r="D24" s="16"/>
    </row>
    <row r="25" spans="1:8" x14ac:dyDescent="0.2">
      <c r="A25" s="23" t="s">
        <v>160</v>
      </c>
      <c r="B25" s="22">
        <f>PREÇOS!J21</f>
        <v>2.9083333333333332</v>
      </c>
      <c r="C25" s="11" t="s">
        <v>131</v>
      </c>
      <c r="D25" s="16"/>
    </row>
    <row r="26" spans="1:8" x14ac:dyDescent="0.2">
      <c r="A26" s="23" t="s">
        <v>684</v>
      </c>
      <c r="B26" s="22">
        <f>PREÇOS!J30</f>
        <v>1.7516666666666667</v>
      </c>
      <c r="C26" s="11" t="s">
        <v>131</v>
      </c>
      <c r="D26" s="16"/>
    </row>
    <row r="27" spans="1:8" x14ac:dyDescent="0.2">
      <c r="A27" s="23" t="s">
        <v>579</v>
      </c>
      <c r="B27" s="25">
        <f>DADOS!D18</f>
        <v>302.39999999999998</v>
      </c>
      <c r="C27" s="11" t="s">
        <v>131</v>
      </c>
    </row>
    <row r="28" spans="1:8" x14ac:dyDescent="0.2">
      <c r="A28" s="23" t="s">
        <v>177</v>
      </c>
      <c r="B28" s="25"/>
      <c r="C28" s="11" t="s">
        <v>131</v>
      </c>
    </row>
    <row r="29" spans="1:8" x14ac:dyDescent="0.2">
      <c r="A29" s="23" t="s">
        <v>565</v>
      </c>
      <c r="B29" s="25">
        <v>41</v>
      </c>
      <c r="C29" s="11" t="s">
        <v>131</v>
      </c>
    </row>
    <row r="30" spans="1:8" x14ac:dyDescent="0.2">
      <c r="A30" s="23" t="s">
        <v>369</v>
      </c>
      <c r="B30" s="25">
        <f>B27+B21+B28+B29</f>
        <v>423.46</v>
      </c>
      <c r="C30" s="11" t="s">
        <v>131</v>
      </c>
    </row>
    <row r="32" spans="1:8" x14ac:dyDescent="0.2">
      <c r="A32" s="26" t="s">
        <v>9</v>
      </c>
      <c r="B32" s="27">
        <f>B30+B17</f>
        <v>3512.0801999999999</v>
      </c>
      <c r="C32" s="28" t="s">
        <v>131</v>
      </c>
    </row>
    <row r="33" spans="1:12" hidden="1" x14ac:dyDescent="0.2">
      <c r="A33" s="29" t="s">
        <v>313</v>
      </c>
      <c r="B33" s="27">
        <f>B32/220</f>
        <v>15.964000909090908</v>
      </c>
      <c r="C33" s="28" t="s">
        <v>307</v>
      </c>
    </row>
    <row r="35" spans="1:12" x14ac:dyDescent="0.2">
      <c r="A35" s="17" t="s">
        <v>157</v>
      </c>
      <c r="B35" s="18"/>
    </row>
    <row r="37" spans="1:12" x14ac:dyDescent="0.2">
      <c r="A37" s="20" t="s">
        <v>1</v>
      </c>
    </row>
    <row r="39" spans="1:12" x14ac:dyDescent="0.2">
      <c r="A39" s="21" t="s">
        <v>2</v>
      </c>
      <c r="B39" s="22">
        <f>B13</f>
        <v>1221.6199999999999</v>
      </c>
      <c r="C39" s="11" t="s">
        <v>131</v>
      </c>
    </row>
    <row r="40" spans="1:12" x14ac:dyDescent="0.2">
      <c r="A40" s="21" t="s">
        <v>3</v>
      </c>
      <c r="B40" s="22">
        <f>B14</f>
        <v>484.8</v>
      </c>
      <c r="C40" s="11" t="s">
        <v>131</v>
      </c>
    </row>
    <row r="41" spans="1:12" x14ac:dyDescent="0.2">
      <c r="A41" s="21" t="s">
        <v>183</v>
      </c>
      <c r="B41" s="22">
        <f>+(B39+B40)/220*0.2*110</f>
        <v>170.642</v>
      </c>
      <c r="C41" s="11" t="s">
        <v>131</v>
      </c>
      <c r="K41" s="11">
        <v>4</v>
      </c>
      <c r="L41" s="11">
        <f>K41/8</f>
        <v>0.5</v>
      </c>
    </row>
    <row r="42" spans="1:12" x14ac:dyDescent="0.2">
      <c r="A42" s="23" t="s">
        <v>184</v>
      </c>
      <c r="B42" s="22">
        <f>SUM(B39:B41)</f>
        <v>1877.0619999999999</v>
      </c>
      <c r="C42" s="11" t="s">
        <v>131</v>
      </c>
    </row>
    <row r="43" spans="1:12" x14ac:dyDescent="0.2">
      <c r="A43" s="21" t="s">
        <v>185</v>
      </c>
      <c r="B43" s="24">
        <f>B16</f>
        <v>81</v>
      </c>
      <c r="C43" s="11" t="s">
        <v>232</v>
      </c>
    </row>
    <row r="44" spans="1:12" x14ac:dyDescent="0.2">
      <c r="A44" s="21" t="s">
        <v>186</v>
      </c>
      <c r="B44" s="22">
        <f>+B42+(B42*B43/100)</f>
        <v>3397.4822199999999</v>
      </c>
      <c r="C44" s="11" t="s">
        <v>131</v>
      </c>
    </row>
    <row r="46" spans="1:12" x14ac:dyDescent="0.2">
      <c r="A46" s="20" t="s">
        <v>90</v>
      </c>
    </row>
    <row r="47" spans="1:12" x14ac:dyDescent="0.2">
      <c r="A47" s="11" t="s">
        <v>7</v>
      </c>
    </row>
    <row r="48" spans="1:12" x14ac:dyDescent="0.2">
      <c r="A48" s="21" t="s">
        <v>112</v>
      </c>
      <c r="B48" s="30">
        <f>+B21</f>
        <v>80.059999999999988</v>
      </c>
      <c r="C48" s="11" t="s">
        <v>131</v>
      </c>
    </row>
    <row r="49" spans="1:4" x14ac:dyDescent="0.2">
      <c r="A49" s="21" t="s">
        <v>158</v>
      </c>
      <c r="B49" s="22">
        <f>+B22</f>
        <v>55</v>
      </c>
      <c r="C49" s="11" t="s">
        <v>131</v>
      </c>
    </row>
    <row r="50" spans="1:4" x14ac:dyDescent="0.2">
      <c r="A50" s="21" t="s">
        <v>210</v>
      </c>
      <c r="B50" s="22">
        <f>+B23</f>
        <v>15.316666666666668</v>
      </c>
      <c r="C50" s="11" t="s">
        <v>131</v>
      </c>
    </row>
    <row r="51" spans="1:4" x14ac:dyDescent="0.2">
      <c r="A51" s="23" t="s">
        <v>159</v>
      </c>
      <c r="B51" s="22">
        <f>+B24</f>
        <v>5.083333333333333</v>
      </c>
      <c r="C51" s="11" t="s">
        <v>131</v>
      </c>
    </row>
    <row r="52" spans="1:4" x14ac:dyDescent="0.2">
      <c r="A52" s="23" t="s">
        <v>160</v>
      </c>
      <c r="B52" s="22">
        <f>+B25</f>
        <v>2.9083333333333332</v>
      </c>
      <c r="C52" s="11" t="s">
        <v>131</v>
      </c>
    </row>
    <row r="53" spans="1:4" x14ac:dyDescent="0.2">
      <c r="A53" s="23" t="s">
        <v>684</v>
      </c>
      <c r="B53" s="22">
        <f>PREÇOS!J30</f>
        <v>1.7516666666666667</v>
      </c>
      <c r="C53" s="11" t="s">
        <v>131</v>
      </c>
      <c r="D53" s="16"/>
    </row>
    <row r="54" spans="1:4" x14ac:dyDescent="0.2">
      <c r="A54" s="23" t="s">
        <v>579</v>
      </c>
      <c r="B54" s="25">
        <f>B27</f>
        <v>302.39999999999998</v>
      </c>
      <c r="C54" s="11" t="s">
        <v>131</v>
      </c>
    </row>
    <row r="55" spans="1:4" x14ac:dyDescent="0.2">
      <c r="A55" s="23" t="s">
        <v>177</v>
      </c>
      <c r="B55" s="25"/>
      <c r="C55" s="11" t="s">
        <v>131</v>
      </c>
    </row>
    <row r="56" spans="1:4" x14ac:dyDescent="0.2">
      <c r="A56" s="23" t="s">
        <v>565</v>
      </c>
      <c r="B56" s="25">
        <f>B29</f>
        <v>41</v>
      </c>
      <c r="C56" s="11" t="s">
        <v>131</v>
      </c>
    </row>
    <row r="57" spans="1:4" x14ac:dyDescent="0.2">
      <c r="A57" s="23" t="s">
        <v>369</v>
      </c>
      <c r="B57" s="25">
        <f>B48+B54+B55+B56</f>
        <v>423.46</v>
      </c>
      <c r="C57" s="11" t="s">
        <v>131</v>
      </c>
    </row>
    <row r="59" spans="1:4" x14ac:dyDescent="0.2">
      <c r="A59" s="26" t="s">
        <v>9</v>
      </c>
      <c r="B59" s="27">
        <f>B57+B44</f>
        <v>3820.9422199999999</v>
      </c>
      <c r="C59" s="31" t="s">
        <v>131</v>
      </c>
    </row>
    <row r="60" spans="1:4" hidden="1" x14ac:dyDescent="0.2">
      <c r="A60" s="29" t="s">
        <v>313</v>
      </c>
      <c r="B60" s="27">
        <f>B59/220</f>
        <v>17.367919181818181</v>
      </c>
      <c r="C60" s="28" t="s">
        <v>307</v>
      </c>
    </row>
  </sheetData>
  <mergeCells count="3">
    <mergeCell ref="A1:B1"/>
    <mergeCell ref="A2:B2"/>
    <mergeCell ref="A7:B7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"/>
  <sheetViews>
    <sheetView view="pageBreakPreview" topLeftCell="A11" workbookViewId="0">
      <selection activeCell="F14" sqref="F14"/>
    </sheetView>
  </sheetViews>
  <sheetFormatPr defaultColWidth="12" defaultRowHeight="12.75" x14ac:dyDescent="0.2"/>
  <cols>
    <col min="1" max="1" width="60.6640625" style="11" customWidth="1"/>
    <col min="2" max="2" width="17.83203125" style="11" customWidth="1"/>
    <col min="3" max="3" width="10.5" style="11" customWidth="1"/>
    <col min="4" max="16384" width="12" style="11"/>
  </cols>
  <sheetData>
    <row r="1" spans="1:6" ht="18.75" hidden="1" x14ac:dyDescent="0.3">
      <c r="A1" s="338" t="s">
        <v>226</v>
      </c>
      <c r="B1" s="338"/>
      <c r="C1" s="9"/>
      <c r="D1" s="9"/>
      <c r="E1" s="9"/>
      <c r="F1" s="10"/>
    </row>
    <row r="2" spans="1:6" ht="18" hidden="1" customHeight="1" x14ac:dyDescent="0.25">
      <c r="A2" s="338"/>
      <c r="B2" s="338"/>
      <c r="C2" s="9"/>
      <c r="D2" s="9"/>
      <c r="E2" s="9"/>
      <c r="F2" s="12"/>
    </row>
    <row r="3" spans="1:6" hidden="1" x14ac:dyDescent="0.2">
      <c r="A3" s="13"/>
      <c r="B3" s="13"/>
      <c r="C3" s="13"/>
      <c r="D3" s="13"/>
      <c r="E3" s="13"/>
      <c r="F3" s="13"/>
    </row>
    <row r="4" spans="1:6" hidden="1" x14ac:dyDescent="0.2">
      <c r="A4" s="14" t="s">
        <v>228</v>
      </c>
      <c r="B4" s="14" t="s">
        <v>222</v>
      </c>
      <c r="C4" s="13"/>
      <c r="E4" s="13"/>
      <c r="F4" s="13"/>
    </row>
    <row r="5" spans="1:6" x14ac:dyDescent="0.2">
      <c r="A5" s="12"/>
      <c r="B5" s="13"/>
      <c r="C5" s="13"/>
      <c r="D5" s="13"/>
      <c r="E5" s="13"/>
    </row>
    <row r="6" spans="1:6" x14ac:dyDescent="0.2">
      <c r="A6" s="339" t="s">
        <v>0</v>
      </c>
      <c r="B6" s="339"/>
      <c r="C6" s="15"/>
      <c r="D6" s="15"/>
      <c r="E6" s="15"/>
    </row>
    <row r="7" spans="1:6" x14ac:dyDescent="0.2">
      <c r="A7" s="16"/>
      <c r="B7" s="16"/>
      <c r="C7" s="16"/>
      <c r="D7" s="16"/>
    </row>
    <row r="8" spans="1:6" x14ac:dyDescent="0.2">
      <c r="A8" s="137" t="s">
        <v>351</v>
      </c>
      <c r="B8" s="18"/>
      <c r="C8" s="18"/>
      <c r="D8" s="18"/>
      <c r="E8" s="19"/>
    </row>
    <row r="9" spans="1:6" x14ac:dyDescent="0.2">
      <c r="A9" s="18" t="s">
        <v>179</v>
      </c>
      <c r="B9" s="16"/>
      <c r="C9" s="16"/>
      <c r="D9" s="16"/>
    </row>
    <row r="11" spans="1:6" x14ac:dyDescent="0.2">
      <c r="A11" s="20" t="s">
        <v>1</v>
      </c>
    </row>
    <row r="13" spans="1:6" x14ac:dyDescent="0.2">
      <c r="A13" s="21" t="s">
        <v>180</v>
      </c>
      <c r="B13" s="22">
        <f>COLETOR!B13</f>
        <v>1221.6199999999999</v>
      </c>
      <c r="C13" s="11" t="s">
        <v>131</v>
      </c>
    </row>
    <row r="14" spans="1:6" x14ac:dyDescent="0.2">
      <c r="A14" s="23" t="s">
        <v>10</v>
      </c>
      <c r="B14" s="22">
        <f>DADOS!D4*0.2</f>
        <v>242.4</v>
      </c>
      <c r="C14" s="11" t="s">
        <v>131</v>
      </c>
    </row>
    <row r="15" spans="1:6" x14ac:dyDescent="0.2">
      <c r="A15" s="23" t="s">
        <v>4</v>
      </c>
      <c r="B15" s="22">
        <f>SUM(B13:B14)</f>
        <v>1464.02</v>
      </c>
      <c r="C15" s="11" t="s">
        <v>131</v>
      </c>
    </row>
    <row r="16" spans="1:6" x14ac:dyDescent="0.2">
      <c r="A16" s="21" t="s">
        <v>5</v>
      </c>
      <c r="B16" s="24">
        <f>COLETOR!B16</f>
        <v>81</v>
      </c>
      <c r="C16" s="11" t="s">
        <v>232</v>
      </c>
    </row>
    <row r="17" spans="1:4" x14ac:dyDescent="0.2">
      <c r="A17" s="21" t="s">
        <v>6</v>
      </c>
      <c r="B17" s="22">
        <f>+B15+(B15*B16/100)</f>
        <v>2649.8761999999997</v>
      </c>
      <c r="C17" s="11" t="s">
        <v>131</v>
      </c>
    </row>
    <row r="19" spans="1:4" x14ac:dyDescent="0.2">
      <c r="A19" s="20" t="s">
        <v>90</v>
      </c>
    </row>
    <row r="20" spans="1:4" x14ac:dyDescent="0.2">
      <c r="A20" s="11" t="s">
        <v>7</v>
      </c>
      <c r="C20" s="16"/>
      <c r="D20" s="16"/>
    </row>
    <row r="21" spans="1:4" x14ac:dyDescent="0.2">
      <c r="A21" s="21" t="s">
        <v>112</v>
      </c>
      <c r="B21" s="22">
        <f>B22+B23+B24+B25+B26</f>
        <v>77.591666666666654</v>
      </c>
      <c r="C21" s="11" t="s">
        <v>131</v>
      </c>
      <c r="D21" s="16"/>
    </row>
    <row r="22" spans="1:4" x14ac:dyDescent="0.2">
      <c r="A22" s="21" t="s">
        <v>158</v>
      </c>
      <c r="B22" s="22">
        <f>PREÇOS!J22</f>
        <v>55</v>
      </c>
      <c r="C22" s="11" t="s">
        <v>131</v>
      </c>
      <c r="D22" s="16"/>
    </row>
    <row r="23" spans="1:4" x14ac:dyDescent="0.2">
      <c r="A23" s="21" t="s">
        <v>210</v>
      </c>
      <c r="B23" s="22">
        <f>PREÇOS!J26</f>
        <v>15.316666666666668</v>
      </c>
      <c r="C23" s="11" t="s">
        <v>131</v>
      </c>
      <c r="D23" s="16"/>
    </row>
    <row r="24" spans="1:4" x14ac:dyDescent="0.2">
      <c r="A24" s="23" t="s">
        <v>159</v>
      </c>
      <c r="B24" s="22">
        <f>PREÇOS!J25</f>
        <v>2.6149999999999998</v>
      </c>
      <c r="C24" s="11" t="s">
        <v>131</v>
      </c>
      <c r="D24" s="16"/>
    </row>
    <row r="25" spans="1:4" x14ac:dyDescent="0.2">
      <c r="A25" s="23" t="s">
        <v>160</v>
      </c>
      <c r="B25" s="22">
        <f>PREÇOS!J21</f>
        <v>2.9083333333333332</v>
      </c>
      <c r="C25" s="11" t="s">
        <v>131</v>
      </c>
      <c r="D25" s="16"/>
    </row>
    <row r="26" spans="1:4" x14ac:dyDescent="0.2">
      <c r="A26" s="23" t="s">
        <v>684</v>
      </c>
      <c r="B26" s="22">
        <f>PREÇOS!J30</f>
        <v>1.7516666666666667</v>
      </c>
      <c r="C26" s="11" t="s">
        <v>131</v>
      </c>
      <c r="D26" s="16"/>
    </row>
    <row r="27" spans="1:4" x14ac:dyDescent="0.2">
      <c r="A27" s="23" t="s">
        <v>579</v>
      </c>
      <c r="B27" s="25">
        <f>COLETOR!B27</f>
        <v>302.39999999999998</v>
      </c>
      <c r="C27" s="11" t="s">
        <v>131</v>
      </c>
    </row>
    <row r="28" spans="1:4" hidden="1" x14ac:dyDescent="0.2">
      <c r="A28" s="23" t="s">
        <v>174</v>
      </c>
      <c r="B28" s="25"/>
      <c r="C28" s="11" t="s">
        <v>131</v>
      </c>
    </row>
    <row r="29" spans="1:4" hidden="1" x14ac:dyDescent="0.2">
      <c r="A29" s="23" t="s">
        <v>175</v>
      </c>
      <c r="B29" s="25"/>
      <c r="C29" s="11" t="s">
        <v>131</v>
      </c>
    </row>
    <row r="30" spans="1:4" x14ac:dyDescent="0.2">
      <c r="A30" s="23" t="s">
        <v>177</v>
      </c>
      <c r="B30" s="25"/>
      <c r="C30" s="11" t="s">
        <v>131</v>
      </c>
    </row>
    <row r="31" spans="1:4" x14ac:dyDescent="0.2">
      <c r="A31" s="23" t="s">
        <v>565</v>
      </c>
      <c r="B31" s="25">
        <f>COLETOR!B29</f>
        <v>41</v>
      </c>
      <c r="C31" s="11" t="s">
        <v>131</v>
      </c>
    </row>
    <row r="32" spans="1:4" x14ac:dyDescent="0.2">
      <c r="A32" s="23" t="s">
        <v>369</v>
      </c>
      <c r="B32" s="25">
        <f>B21+B27+B30+B31</f>
        <v>420.99166666666662</v>
      </c>
      <c r="C32" s="11" t="s">
        <v>131</v>
      </c>
    </row>
    <row r="34" spans="1:3" x14ac:dyDescent="0.2">
      <c r="A34" s="26" t="s">
        <v>9</v>
      </c>
      <c r="B34" s="27">
        <f>B17+B32</f>
        <v>3070.8678666666665</v>
      </c>
      <c r="C34" s="28" t="s">
        <v>131</v>
      </c>
    </row>
    <row r="35" spans="1:3" hidden="1" x14ac:dyDescent="0.2">
      <c r="A35" s="29" t="s">
        <v>313</v>
      </c>
      <c r="B35" s="27">
        <f>B34/220</f>
        <v>13.958490303030302</v>
      </c>
      <c r="C35" s="28" t="s">
        <v>307</v>
      </c>
    </row>
    <row r="37" spans="1:3" x14ac:dyDescent="0.2">
      <c r="A37" s="17" t="s">
        <v>155</v>
      </c>
      <c r="B37" s="18"/>
    </row>
    <row r="38" spans="1:3" x14ac:dyDescent="0.2">
      <c r="A38" s="18" t="s">
        <v>181</v>
      </c>
      <c r="B38" s="16"/>
    </row>
    <row r="40" spans="1:3" x14ac:dyDescent="0.2">
      <c r="A40" s="20" t="s">
        <v>1</v>
      </c>
    </row>
    <row r="42" spans="1:3" x14ac:dyDescent="0.2">
      <c r="A42" s="21" t="s">
        <v>180</v>
      </c>
      <c r="B42" s="22">
        <f>B13</f>
        <v>1221.6199999999999</v>
      </c>
      <c r="C42" s="11" t="s">
        <v>131</v>
      </c>
    </row>
    <row r="43" spans="1:3" x14ac:dyDescent="0.2">
      <c r="A43" s="21" t="s">
        <v>10</v>
      </c>
      <c r="B43" s="22">
        <f>B14</f>
        <v>242.4</v>
      </c>
      <c r="C43" s="11" t="s">
        <v>131</v>
      </c>
    </row>
    <row r="44" spans="1:3" x14ac:dyDescent="0.2">
      <c r="A44" s="21" t="s">
        <v>183</v>
      </c>
      <c r="B44" s="22">
        <f>+(B42+B43)/220*0.2*55</f>
        <v>73.200999999999993</v>
      </c>
      <c r="C44" s="11" t="s">
        <v>131</v>
      </c>
    </row>
    <row r="45" spans="1:3" x14ac:dyDescent="0.2">
      <c r="A45" s="23" t="s">
        <v>184</v>
      </c>
      <c r="B45" s="22">
        <f>SUM(B42:B44)</f>
        <v>1537.221</v>
      </c>
      <c r="C45" s="11" t="s">
        <v>131</v>
      </c>
    </row>
    <row r="46" spans="1:3" x14ac:dyDescent="0.2">
      <c r="A46" s="21" t="s">
        <v>185</v>
      </c>
      <c r="B46" s="24">
        <f>COLETOR!B43</f>
        <v>81</v>
      </c>
      <c r="C46" s="11" t="s">
        <v>232</v>
      </c>
    </row>
    <row r="47" spans="1:3" x14ac:dyDescent="0.2">
      <c r="A47" s="21" t="s">
        <v>186</v>
      </c>
      <c r="B47" s="22">
        <f>+B45+(B45*B46/100)</f>
        <v>2782.3700100000001</v>
      </c>
      <c r="C47" s="11" t="s">
        <v>131</v>
      </c>
    </row>
    <row r="49" spans="1:8" x14ac:dyDescent="0.2">
      <c r="A49" s="20" t="s">
        <v>90</v>
      </c>
    </row>
    <row r="50" spans="1:8" x14ac:dyDescent="0.2">
      <c r="A50" s="11" t="s">
        <v>7</v>
      </c>
    </row>
    <row r="51" spans="1:8" x14ac:dyDescent="0.2">
      <c r="A51" s="21" t="s">
        <v>112</v>
      </c>
      <c r="B51" s="22">
        <f>B21</f>
        <v>77.591666666666654</v>
      </c>
      <c r="C51" s="16" t="s">
        <v>131</v>
      </c>
      <c r="D51" s="16"/>
    </row>
    <row r="52" spans="1:8" x14ac:dyDescent="0.2">
      <c r="A52" s="21" t="s">
        <v>158</v>
      </c>
      <c r="B52" s="22">
        <f>B22</f>
        <v>55</v>
      </c>
      <c r="C52" s="16" t="s">
        <v>131</v>
      </c>
      <c r="D52" s="16"/>
    </row>
    <row r="53" spans="1:8" x14ac:dyDescent="0.2">
      <c r="A53" s="21" t="s">
        <v>210</v>
      </c>
      <c r="B53" s="22">
        <f>B23</f>
        <v>15.316666666666668</v>
      </c>
      <c r="C53" s="16" t="s">
        <v>131</v>
      </c>
      <c r="D53" s="16"/>
    </row>
    <row r="54" spans="1:8" x14ac:dyDescent="0.2">
      <c r="A54" s="23" t="s">
        <v>159</v>
      </c>
      <c r="B54" s="22">
        <f>B24</f>
        <v>2.6149999999999998</v>
      </c>
      <c r="C54" s="16" t="s">
        <v>131</v>
      </c>
      <c r="D54" s="16"/>
      <c r="H54" s="25"/>
    </row>
    <row r="55" spans="1:8" x14ac:dyDescent="0.2">
      <c r="A55" s="23" t="s">
        <v>160</v>
      </c>
      <c r="B55" s="22">
        <f>B25</f>
        <v>2.9083333333333332</v>
      </c>
      <c r="C55" s="16" t="s">
        <v>131</v>
      </c>
      <c r="D55" s="16"/>
    </row>
    <row r="56" spans="1:8" x14ac:dyDescent="0.2">
      <c r="A56" s="23" t="s">
        <v>684</v>
      </c>
      <c r="B56" s="22">
        <f>PREÇOS!J30</f>
        <v>1.7516666666666667</v>
      </c>
      <c r="C56" s="11" t="s">
        <v>131</v>
      </c>
      <c r="D56" s="16"/>
    </row>
    <row r="57" spans="1:8" x14ac:dyDescent="0.2">
      <c r="A57" s="23" t="s">
        <v>579</v>
      </c>
      <c r="B57" s="25">
        <f>COLETOR!B54</f>
        <v>302.39999999999998</v>
      </c>
      <c r="C57" s="16" t="s">
        <v>131</v>
      </c>
    </row>
    <row r="58" spans="1:8" hidden="1" x14ac:dyDescent="0.2">
      <c r="A58" s="23" t="s">
        <v>174</v>
      </c>
      <c r="B58" s="25">
        <v>25</v>
      </c>
      <c r="C58" s="16" t="s">
        <v>131</v>
      </c>
    </row>
    <row r="59" spans="1:8" hidden="1" x14ac:dyDescent="0.2">
      <c r="A59" s="23" t="s">
        <v>175</v>
      </c>
      <c r="B59" s="25"/>
      <c r="C59" s="16" t="s">
        <v>131</v>
      </c>
    </row>
    <row r="60" spans="1:8" x14ac:dyDescent="0.2">
      <c r="A60" s="23" t="s">
        <v>177</v>
      </c>
      <c r="B60" s="25"/>
      <c r="C60" s="16" t="s">
        <v>131</v>
      </c>
    </row>
    <row r="61" spans="1:8" x14ac:dyDescent="0.2">
      <c r="A61" s="23" t="s">
        <v>565</v>
      </c>
      <c r="B61" s="25">
        <f>B31</f>
        <v>41</v>
      </c>
      <c r="C61" s="11" t="s">
        <v>131</v>
      </c>
    </row>
    <row r="62" spans="1:8" x14ac:dyDescent="0.2">
      <c r="A62" s="23" t="s">
        <v>369</v>
      </c>
      <c r="B62" s="25">
        <f>B57+B51+B60+B61</f>
        <v>420.99166666666662</v>
      </c>
      <c r="C62" s="11" t="s">
        <v>131</v>
      </c>
    </row>
    <row r="63" spans="1:8" x14ac:dyDescent="0.2">
      <c r="A63" s="19"/>
      <c r="B63" s="19"/>
      <c r="C63" s="19"/>
    </row>
    <row r="64" spans="1:8" x14ac:dyDescent="0.2">
      <c r="A64" s="26" t="s">
        <v>9</v>
      </c>
      <c r="B64" s="27">
        <f>B62+B47</f>
        <v>3203.3616766666669</v>
      </c>
      <c r="C64" s="31" t="s">
        <v>131</v>
      </c>
    </row>
    <row r="65" spans="1:3" hidden="1" x14ac:dyDescent="0.2">
      <c r="A65" s="29" t="s">
        <v>313</v>
      </c>
      <c r="B65" s="27">
        <f>B64/220</f>
        <v>14.560734893939395</v>
      </c>
      <c r="C65" s="28" t="s">
        <v>307</v>
      </c>
    </row>
  </sheetData>
  <mergeCells count="3">
    <mergeCell ref="A1:B1"/>
    <mergeCell ref="A2:B2"/>
    <mergeCell ref="A6:B6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rowBreaks count="1" manualBreakCount="1">
    <brk id="65" max="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view="pageBreakPreview" topLeftCell="A6" workbookViewId="0">
      <selection activeCell="A55" sqref="A55"/>
    </sheetView>
  </sheetViews>
  <sheetFormatPr defaultColWidth="12" defaultRowHeight="12.75" x14ac:dyDescent="0.2"/>
  <cols>
    <col min="1" max="1" width="65.33203125" style="11" customWidth="1"/>
    <col min="2" max="2" width="18.1640625" style="11" customWidth="1"/>
    <col min="3" max="3" width="12.1640625" style="11" customWidth="1"/>
    <col min="4" max="16384" width="12" style="11"/>
  </cols>
  <sheetData>
    <row r="1" spans="1:6" ht="18.75" hidden="1" x14ac:dyDescent="0.3">
      <c r="A1" s="338" t="s">
        <v>226</v>
      </c>
      <c r="B1" s="338"/>
      <c r="C1" s="9"/>
      <c r="D1" s="9"/>
      <c r="E1" s="9"/>
      <c r="F1" s="10"/>
    </row>
    <row r="2" spans="1:6" ht="18" hidden="1" customHeight="1" x14ac:dyDescent="0.25">
      <c r="A2" s="338"/>
      <c r="B2" s="338"/>
      <c r="C2" s="9"/>
      <c r="D2" s="9"/>
      <c r="E2" s="9"/>
      <c r="F2" s="12"/>
    </row>
    <row r="3" spans="1:6" hidden="1" x14ac:dyDescent="0.2">
      <c r="A3" s="13"/>
      <c r="B3" s="13"/>
      <c r="C3" s="13"/>
      <c r="D3" s="13"/>
      <c r="E3" s="13"/>
      <c r="F3" s="13"/>
    </row>
    <row r="4" spans="1:6" hidden="1" x14ac:dyDescent="0.2">
      <c r="A4" s="13"/>
      <c r="B4" s="13"/>
      <c r="C4" s="13"/>
      <c r="D4" s="13"/>
      <c r="E4" s="13"/>
      <c r="F4" s="13"/>
    </row>
    <row r="5" spans="1:6" hidden="1" x14ac:dyDescent="0.2">
      <c r="A5" s="14" t="s">
        <v>195</v>
      </c>
      <c r="B5" s="14" t="s">
        <v>222</v>
      </c>
      <c r="C5" s="13"/>
      <c r="E5" s="13"/>
      <c r="F5" s="13"/>
    </row>
    <row r="6" spans="1:6" x14ac:dyDescent="0.2">
      <c r="A6" s="12"/>
      <c r="B6" s="13"/>
      <c r="C6" s="13"/>
      <c r="D6" s="13"/>
      <c r="E6" s="13"/>
    </row>
    <row r="7" spans="1:6" x14ac:dyDescent="0.2">
      <c r="A7" s="339" t="s">
        <v>0</v>
      </c>
      <c r="B7" s="339"/>
      <c r="C7" s="15"/>
      <c r="D7" s="15"/>
      <c r="E7" s="15"/>
    </row>
    <row r="8" spans="1:6" x14ac:dyDescent="0.2">
      <c r="A8" s="16"/>
      <c r="B8" s="16"/>
    </row>
    <row r="9" spans="1:6" x14ac:dyDescent="0.2">
      <c r="A9" s="147" t="s">
        <v>360</v>
      </c>
      <c r="B9" s="18"/>
      <c r="E9" s="19"/>
    </row>
    <row r="10" spans="1:6" x14ac:dyDescent="0.2">
      <c r="A10" s="16"/>
      <c r="B10" s="16"/>
    </row>
    <row r="12" spans="1:6" x14ac:dyDescent="0.2">
      <c r="A12" s="20" t="s">
        <v>1</v>
      </c>
    </row>
    <row r="14" spans="1:6" x14ac:dyDescent="0.2">
      <c r="A14" s="21" t="s">
        <v>176</v>
      </c>
      <c r="B14" s="37">
        <f>DADOS!D6</f>
        <v>2509.137490909091</v>
      </c>
      <c r="C14" s="11" t="s">
        <v>131</v>
      </c>
    </row>
    <row r="15" spans="1:6" x14ac:dyDescent="0.2">
      <c r="A15" s="21" t="s">
        <v>10</v>
      </c>
      <c r="B15" s="22">
        <f>DADOS!D4*0.2</f>
        <v>242.4</v>
      </c>
      <c r="C15" s="11" t="s">
        <v>131</v>
      </c>
    </row>
    <row r="16" spans="1:6" x14ac:dyDescent="0.2">
      <c r="A16" s="23" t="s">
        <v>4</v>
      </c>
      <c r="B16" s="22">
        <f>SUM(B14:B15)</f>
        <v>2751.537490909091</v>
      </c>
      <c r="C16" s="11" t="s">
        <v>131</v>
      </c>
    </row>
    <row r="17" spans="1:4" x14ac:dyDescent="0.2">
      <c r="A17" s="21" t="s">
        <v>5</v>
      </c>
      <c r="B17" s="24">
        <f>COLETOR!B16</f>
        <v>81</v>
      </c>
      <c r="C17" s="11" t="s">
        <v>232</v>
      </c>
    </row>
    <row r="18" spans="1:4" x14ac:dyDescent="0.2">
      <c r="A18" s="23" t="s">
        <v>6</v>
      </c>
      <c r="B18" s="22">
        <f>+B16+(B16*B17/100)</f>
        <v>4980.2828585454554</v>
      </c>
      <c r="C18" s="11" t="s">
        <v>131</v>
      </c>
    </row>
    <row r="20" spans="1:4" x14ac:dyDescent="0.2">
      <c r="A20" s="20" t="s">
        <v>90</v>
      </c>
    </row>
    <row r="21" spans="1:4" x14ac:dyDescent="0.2">
      <c r="A21" s="11" t="s">
        <v>7</v>
      </c>
      <c r="C21" s="16"/>
      <c r="D21" s="16"/>
    </row>
    <row r="22" spans="1:4" x14ac:dyDescent="0.2">
      <c r="A22" s="21" t="s">
        <v>134</v>
      </c>
      <c r="B22" s="22">
        <f>B23+B24+B25+B26</f>
        <v>83.4</v>
      </c>
      <c r="C22" s="11" t="s">
        <v>131</v>
      </c>
      <c r="D22" s="16"/>
    </row>
    <row r="23" spans="1:4" x14ac:dyDescent="0.2">
      <c r="A23" s="21" t="s">
        <v>158</v>
      </c>
      <c r="B23" s="22">
        <f>PREÇOS!J23</f>
        <v>55</v>
      </c>
      <c r="C23" s="11" t="s">
        <v>131</v>
      </c>
      <c r="D23" s="16"/>
    </row>
    <row r="24" spans="1:4" x14ac:dyDescent="0.2">
      <c r="A24" s="21" t="s">
        <v>211</v>
      </c>
      <c r="B24" s="22">
        <f>PREÇOS!J27</f>
        <v>28.400000000000002</v>
      </c>
      <c r="C24" s="11" t="s">
        <v>131</v>
      </c>
      <c r="D24" s="16"/>
    </row>
    <row r="25" spans="1:4" x14ac:dyDescent="0.2">
      <c r="A25" s="23" t="s">
        <v>159</v>
      </c>
      <c r="B25" s="22">
        <v>0</v>
      </c>
      <c r="D25" s="16"/>
    </row>
    <row r="26" spans="1:4" x14ac:dyDescent="0.2">
      <c r="A26" s="23" t="s">
        <v>160</v>
      </c>
      <c r="B26" s="22">
        <v>0</v>
      </c>
      <c r="D26" s="16"/>
    </row>
    <row r="27" spans="1:4" x14ac:dyDescent="0.2">
      <c r="A27" s="23" t="s">
        <v>239</v>
      </c>
      <c r="B27" s="25">
        <f>DADOS!D18</f>
        <v>302.39999999999998</v>
      </c>
      <c r="C27" s="11" t="s">
        <v>131</v>
      </c>
    </row>
    <row r="28" spans="1:4" x14ac:dyDescent="0.2">
      <c r="A28" s="23" t="s">
        <v>177</v>
      </c>
      <c r="B28" s="25"/>
      <c r="C28" s="11" t="s">
        <v>131</v>
      </c>
    </row>
    <row r="29" spans="1:4" x14ac:dyDescent="0.2">
      <c r="A29" s="23" t="s">
        <v>565</v>
      </c>
      <c r="B29" s="25">
        <f>COLETOR!B29</f>
        <v>41</v>
      </c>
      <c r="C29" s="11" t="s">
        <v>131</v>
      </c>
    </row>
    <row r="30" spans="1:4" x14ac:dyDescent="0.2">
      <c r="A30" s="23" t="s">
        <v>369</v>
      </c>
      <c r="B30" s="25">
        <f>B27+B22+B28+B29</f>
        <v>426.79999999999995</v>
      </c>
      <c r="C30" s="11" t="s">
        <v>131</v>
      </c>
    </row>
    <row r="32" spans="1:4" x14ac:dyDescent="0.2">
      <c r="A32" s="26" t="s">
        <v>9</v>
      </c>
      <c r="B32" s="27">
        <f>B30+B18</f>
        <v>5407.0828585454556</v>
      </c>
      <c r="C32" s="28" t="s">
        <v>131</v>
      </c>
    </row>
    <row r="33" spans="1:3" hidden="1" x14ac:dyDescent="0.2">
      <c r="A33" s="29" t="s">
        <v>313</v>
      </c>
      <c r="B33" s="27">
        <f>B32/220</f>
        <v>24.577649357024796</v>
      </c>
      <c r="C33" s="33" t="s">
        <v>307</v>
      </c>
    </row>
    <row r="35" spans="1:3" x14ac:dyDescent="0.2">
      <c r="A35" s="147" t="s">
        <v>361</v>
      </c>
      <c r="B35" s="18"/>
    </row>
    <row r="37" spans="1:3" x14ac:dyDescent="0.2">
      <c r="A37" s="21" t="s">
        <v>1</v>
      </c>
    </row>
    <row r="39" spans="1:3" x14ac:dyDescent="0.2">
      <c r="A39" s="21" t="s">
        <v>176</v>
      </c>
      <c r="B39" s="37">
        <f>B14</f>
        <v>2509.137490909091</v>
      </c>
      <c r="C39" s="11" t="s">
        <v>131</v>
      </c>
    </row>
    <row r="40" spans="1:3" x14ac:dyDescent="0.2">
      <c r="A40" s="21" t="s">
        <v>10</v>
      </c>
      <c r="B40" s="22">
        <f>B15</f>
        <v>242.4</v>
      </c>
      <c r="C40" s="11" t="s">
        <v>131</v>
      </c>
    </row>
    <row r="41" spans="1:3" x14ac:dyDescent="0.2">
      <c r="A41" s="21" t="s">
        <v>183</v>
      </c>
      <c r="B41" s="22">
        <f>+(B39+B40)/220*0.25*110</f>
        <v>343.94218636363638</v>
      </c>
      <c r="C41" s="11" t="s">
        <v>131</v>
      </c>
    </row>
    <row r="42" spans="1:3" x14ac:dyDescent="0.2">
      <c r="A42" s="23" t="s">
        <v>184</v>
      </c>
      <c r="B42" s="22">
        <f>SUM(B39:B41)</f>
        <v>3095.4796772727273</v>
      </c>
      <c r="C42" s="11" t="s">
        <v>131</v>
      </c>
    </row>
    <row r="43" spans="1:3" x14ac:dyDescent="0.2">
      <c r="A43" s="21" t="s">
        <v>185</v>
      </c>
      <c r="B43" s="24">
        <f>COLETOR!B43</f>
        <v>81</v>
      </c>
      <c r="C43" s="11" t="s">
        <v>232</v>
      </c>
    </row>
    <row r="44" spans="1:3" x14ac:dyDescent="0.2">
      <c r="A44" s="23" t="s">
        <v>186</v>
      </c>
      <c r="B44" s="22">
        <f>+B42+(B42*B43/100)</f>
        <v>5602.8182158636364</v>
      </c>
      <c r="C44" s="11" t="s">
        <v>131</v>
      </c>
    </row>
    <row r="46" spans="1:3" x14ac:dyDescent="0.2">
      <c r="A46" s="21" t="s">
        <v>90</v>
      </c>
    </row>
    <row r="47" spans="1:3" x14ac:dyDescent="0.2">
      <c r="A47" s="11" t="s">
        <v>7</v>
      </c>
    </row>
    <row r="48" spans="1:3" x14ac:dyDescent="0.2">
      <c r="A48" s="21" t="s">
        <v>134</v>
      </c>
      <c r="B48" s="22">
        <f>B22</f>
        <v>83.4</v>
      </c>
      <c r="C48" s="11" t="s">
        <v>131</v>
      </c>
    </row>
    <row r="49" spans="1:3" x14ac:dyDescent="0.2">
      <c r="A49" s="21" t="s">
        <v>158</v>
      </c>
      <c r="B49" s="22">
        <f>+B23</f>
        <v>55</v>
      </c>
      <c r="C49" s="11" t="s">
        <v>131</v>
      </c>
    </row>
    <row r="50" spans="1:3" x14ac:dyDescent="0.2">
      <c r="A50" s="21" t="s">
        <v>211</v>
      </c>
      <c r="B50" s="22">
        <f>+B24</f>
        <v>28.400000000000002</v>
      </c>
      <c r="C50" s="11" t="s">
        <v>131</v>
      </c>
    </row>
    <row r="51" spans="1:3" x14ac:dyDescent="0.2">
      <c r="A51" s="23" t="s">
        <v>159</v>
      </c>
      <c r="B51" s="22">
        <f>+B25</f>
        <v>0</v>
      </c>
    </row>
    <row r="52" spans="1:3" x14ac:dyDescent="0.2">
      <c r="A52" s="23" t="s">
        <v>160</v>
      </c>
      <c r="B52" s="22">
        <f>+B26</f>
        <v>0</v>
      </c>
    </row>
    <row r="53" spans="1:3" x14ac:dyDescent="0.2">
      <c r="A53" s="23" t="s">
        <v>216</v>
      </c>
      <c r="B53" s="25">
        <f>+B27</f>
        <v>302.39999999999998</v>
      </c>
      <c r="C53" s="11" t="s">
        <v>131</v>
      </c>
    </row>
    <row r="54" spans="1:3" x14ac:dyDescent="0.2">
      <c r="A54" s="23" t="s">
        <v>177</v>
      </c>
      <c r="B54" s="25"/>
      <c r="C54" s="11" t="s">
        <v>131</v>
      </c>
    </row>
    <row r="55" spans="1:3" x14ac:dyDescent="0.2">
      <c r="A55" s="23" t="s">
        <v>565</v>
      </c>
      <c r="B55" s="25">
        <f>B29</f>
        <v>41</v>
      </c>
      <c r="C55" s="11" t="s">
        <v>131</v>
      </c>
    </row>
    <row r="56" spans="1:3" x14ac:dyDescent="0.2">
      <c r="A56" s="23" t="s">
        <v>369</v>
      </c>
      <c r="B56" s="25">
        <f>B53+B48+B54+B55</f>
        <v>426.79999999999995</v>
      </c>
      <c r="C56" s="11" t="s">
        <v>131</v>
      </c>
    </row>
    <row r="58" spans="1:3" x14ac:dyDescent="0.2">
      <c r="A58" s="26" t="s">
        <v>9</v>
      </c>
      <c r="B58" s="27">
        <f>B56+B44</f>
        <v>6029.6182158636366</v>
      </c>
      <c r="C58" s="31" t="s">
        <v>131</v>
      </c>
    </row>
    <row r="59" spans="1:3" hidden="1" x14ac:dyDescent="0.2">
      <c r="A59" s="29" t="s">
        <v>313</v>
      </c>
      <c r="B59" s="27">
        <f>B58/220</f>
        <v>27.407355526652893</v>
      </c>
      <c r="C59" s="33" t="s">
        <v>307</v>
      </c>
    </row>
  </sheetData>
  <mergeCells count="3">
    <mergeCell ref="A1:B1"/>
    <mergeCell ref="A2:B2"/>
    <mergeCell ref="A7:B7"/>
  </mergeCells>
  <phoneticPr fontId="0" type="noConversion"/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0"/>
  <sheetViews>
    <sheetView view="pageBreakPreview" topLeftCell="A6" zoomScaleSheetLayoutView="100" workbookViewId="0">
      <selection activeCell="A56" sqref="A56"/>
    </sheetView>
  </sheetViews>
  <sheetFormatPr defaultColWidth="12" defaultRowHeight="12.75" x14ac:dyDescent="0.2"/>
  <cols>
    <col min="1" max="1" width="62.1640625" style="11" customWidth="1"/>
    <col min="2" max="2" width="18.33203125" style="11" customWidth="1"/>
    <col min="3" max="3" width="11" style="11" customWidth="1"/>
    <col min="4" max="16384" width="12" style="11"/>
  </cols>
  <sheetData>
    <row r="1" spans="1:6" ht="18.75" hidden="1" x14ac:dyDescent="0.3">
      <c r="A1" s="338" t="s">
        <v>226</v>
      </c>
      <c r="B1" s="338"/>
      <c r="C1" s="135"/>
      <c r="D1" s="135"/>
      <c r="E1" s="135"/>
      <c r="F1" s="10"/>
    </row>
    <row r="2" spans="1:6" ht="18" hidden="1" customHeight="1" x14ac:dyDescent="0.25">
      <c r="A2" s="338"/>
      <c r="B2" s="338"/>
      <c r="C2" s="135"/>
      <c r="D2" s="135"/>
      <c r="E2" s="135"/>
      <c r="F2" s="12"/>
    </row>
    <row r="3" spans="1:6" hidden="1" x14ac:dyDescent="0.2">
      <c r="A3" s="13"/>
      <c r="B3" s="13"/>
      <c r="C3" s="13"/>
      <c r="D3" s="13"/>
      <c r="E3" s="13"/>
      <c r="F3" s="13"/>
    </row>
    <row r="4" spans="1:6" hidden="1" x14ac:dyDescent="0.2">
      <c r="A4" s="13"/>
      <c r="B4" s="13"/>
      <c r="C4" s="13"/>
      <c r="D4" s="13"/>
      <c r="E4" s="13"/>
      <c r="F4" s="13"/>
    </row>
    <row r="5" spans="1:6" hidden="1" x14ac:dyDescent="0.2">
      <c r="A5" s="138" t="s">
        <v>195</v>
      </c>
      <c r="B5" s="138" t="s">
        <v>222</v>
      </c>
      <c r="C5" s="13"/>
      <c r="E5" s="13"/>
      <c r="F5" s="13"/>
    </row>
    <row r="6" spans="1:6" x14ac:dyDescent="0.2">
      <c r="A6" s="12"/>
      <c r="B6" s="13"/>
      <c r="C6" s="13"/>
      <c r="D6" s="13"/>
      <c r="E6" s="13"/>
    </row>
    <row r="7" spans="1:6" x14ac:dyDescent="0.2">
      <c r="A7" s="339" t="s">
        <v>0</v>
      </c>
      <c r="B7" s="339"/>
      <c r="C7" s="136"/>
      <c r="D7" s="136"/>
      <c r="E7" s="136"/>
    </row>
    <row r="8" spans="1:6" x14ac:dyDescent="0.2">
      <c r="A8" s="16"/>
      <c r="B8" s="16"/>
    </row>
    <row r="9" spans="1:6" x14ac:dyDescent="0.2">
      <c r="A9" s="139" t="s">
        <v>355</v>
      </c>
      <c r="B9" s="18"/>
      <c r="E9" s="19"/>
    </row>
    <row r="11" spans="1:6" x14ac:dyDescent="0.2">
      <c r="A11" s="20" t="s">
        <v>1</v>
      </c>
    </row>
    <row r="13" spans="1:6" x14ac:dyDescent="0.2">
      <c r="A13" s="21" t="s">
        <v>182</v>
      </c>
      <c r="B13" s="22">
        <f>DADOS!D7</f>
        <v>2324.6454621450603</v>
      </c>
      <c r="C13" s="11" t="s">
        <v>131</v>
      </c>
    </row>
    <row r="14" spans="1:6" x14ac:dyDescent="0.2">
      <c r="A14" s="21" t="s">
        <v>198</v>
      </c>
      <c r="B14" s="32"/>
      <c r="C14" s="11" t="s">
        <v>131</v>
      </c>
    </row>
    <row r="15" spans="1:6" x14ac:dyDescent="0.2">
      <c r="A15" s="21" t="s">
        <v>552</v>
      </c>
      <c r="B15" s="32">
        <f>B13*0.3</f>
        <v>697.3936386435181</v>
      </c>
      <c r="C15" s="11" t="s">
        <v>131</v>
      </c>
    </row>
    <row r="16" spans="1:6" x14ac:dyDescent="0.2">
      <c r="A16" s="23" t="s">
        <v>184</v>
      </c>
      <c r="B16" s="22">
        <f>B13+B14+B15</f>
        <v>3022.0391007885783</v>
      </c>
      <c r="C16" s="11" t="s">
        <v>131</v>
      </c>
    </row>
    <row r="17" spans="1:4" x14ac:dyDescent="0.2">
      <c r="A17" s="21" t="s">
        <v>185</v>
      </c>
      <c r="B17" s="24">
        <f>COLETOR!B16</f>
        <v>81</v>
      </c>
      <c r="C17" s="11" t="s">
        <v>232</v>
      </c>
    </row>
    <row r="18" spans="1:4" x14ac:dyDescent="0.2">
      <c r="A18" s="21" t="s">
        <v>186</v>
      </c>
      <c r="B18" s="22">
        <f>+B16+(B16*B17/100)</f>
        <v>5469.8907724273267</v>
      </c>
      <c r="C18" s="11" t="s">
        <v>131</v>
      </c>
    </row>
    <row r="20" spans="1:4" x14ac:dyDescent="0.2">
      <c r="A20" s="20" t="s">
        <v>90</v>
      </c>
    </row>
    <row r="21" spans="1:4" x14ac:dyDescent="0.2">
      <c r="A21" s="11" t="s">
        <v>7</v>
      </c>
      <c r="C21" s="16"/>
      <c r="D21" s="16"/>
    </row>
    <row r="22" spans="1:4" x14ac:dyDescent="0.2">
      <c r="A22" s="21" t="s">
        <v>112</v>
      </c>
      <c r="B22" s="22">
        <f>B23+B24+B25+B26</f>
        <v>83.4</v>
      </c>
      <c r="C22" s="16" t="s">
        <v>131</v>
      </c>
      <c r="D22" s="16"/>
    </row>
    <row r="23" spans="1:4" x14ac:dyDescent="0.2">
      <c r="A23" s="21" t="s">
        <v>158</v>
      </c>
      <c r="B23" s="22">
        <f>PREÇOS!J23</f>
        <v>55</v>
      </c>
      <c r="C23" s="16" t="s">
        <v>131</v>
      </c>
      <c r="D23" s="16"/>
    </row>
    <row r="24" spans="1:4" x14ac:dyDescent="0.2">
      <c r="A24" s="21" t="s">
        <v>211</v>
      </c>
      <c r="B24" s="22">
        <f>PREÇOS!J27</f>
        <v>28.400000000000002</v>
      </c>
      <c r="C24" s="16" t="s">
        <v>131</v>
      </c>
      <c r="D24" s="16"/>
    </row>
    <row r="25" spans="1:4" x14ac:dyDescent="0.2">
      <c r="A25" s="23" t="s">
        <v>159</v>
      </c>
      <c r="B25" s="22">
        <v>0</v>
      </c>
      <c r="C25" s="16"/>
      <c r="D25" s="16"/>
    </row>
    <row r="26" spans="1:4" x14ac:dyDescent="0.2">
      <c r="A26" s="23" t="s">
        <v>160</v>
      </c>
      <c r="B26" s="22">
        <v>0</v>
      </c>
      <c r="C26" s="16"/>
      <c r="D26" s="16"/>
    </row>
    <row r="27" spans="1:4" x14ac:dyDescent="0.2">
      <c r="A27" s="23" t="s">
        <v>239</v>
      </c>
      <c r="B27" s="25">
        <f>DADOS!D18</f>
        <v>302.39999999999998</v>
      </c>
      <c r="C27" s="16" t="s">
        <v>131</v>
      </c>
    </row>
    <row r="28" spans="1:4" x14ac:dyDescent="0.2">
      <c r="A28" s="23" t="s">
        <v>177</v>
      </c>
      <c r="B28" s="25"/>
      <c r="C28" s="16" t="s">
        <v>131</v>
      </c>
    </row>
    <row r="29" spans="1:4" x14ac:dyDescent="0.2">
      <c r="A29" s="23" t="s">
        <v>565</v>
      </c>
      <c r="B29" s="25">
        <f>COLETOR!B29</f>
        <v>41</v>
      </c>
      <c r="C29" s="11" t="s">
        <v>131</v>
      </c>
    </row>
    <row r="30" spans="1:4" x14ac:dyDescent="0.2">
      <c r="A30" s="23" t="s">
        <v>369</v>
      </c>
      <c r="B30" s="25">
        <f>B27+B22+B28+B29</f>
        <v>426.79999999999995</v>
      </c>
      <c r="C30" s="16" t="s">
        <v>131</v>
      </c>
    </row>
    <row r="32" spans="1:4" x14ac:dyDescent="0.2">
      <c r="A32" s="26" t="s">
        <v>9</v>
      </c>
      <c r="B32" s="27">
        <f>B30+B18</f>
        <v>5896.6907724273269</v>
      </c>
      <c r="C32" s="33" t="s">
        <v>131</v>
      </c>
    </row>
    <row r="33" spans="1:3" hidden="1" x14ac:dyDescent="0.2">
      <c r="A33" s="29" t="s">
        <v>313</v>
      </c>
      <c r="B33" s="27">
        <f>B32/220</f>
        <v>26.803139874669668</v>
      </c>
      <c r="C33" s="33" t="s">
        <v>307</v>
      </c>
    </row>
    <row r="34" spans="1:3" x14ac:dyDescent="0.2">
      <c r="A34" s="34"/>
      <c r="B34" s="35"/>
    </row>
    <row r="35" spans="1:3" x14ac:dyDescent="0.2">
      <c r="A35" s="137" t="str">
        <f>A9</f>
        <v xml:space="preserve">COMPOSIÇÃO AUXILIAR - ENCARREGADO DE TURMA </v>
      </c>
    </row>
    <row r="37" spans="1:3" x14ac:dyDescent="0.2">
      <c r="A37" s="20" t="s">
        <v>1</v>
      </c>
    </row>
    <row r="39" spans="1:3" x14ac:dyDescent="0.2">
      <c r="A39" s="21" t="s">
        <v>182</v>
      </c>
      <c r="B39" s="22">
        <f>+B13</f>
        <v>2324.6454621450603</v>
      </c>
      <c r="C39" s="11" t="s">
        <v>131</v>
      </c>
    </row>
    <row r="40" spans="1:3" x14ac:dyDescent="0.2">
      <c r="A40" s="21" t="s">
        <v>311</v>
      </c>
      <c r="B40" s="22"/>
      <c r="C40" s="11" t="s">
        <v>131</v>
      </c>
    </row>
    <row r="41" spans="1:3" x14ac:dyDescent="0.2">
      <c r="A41" s="21" t="s">
        <v>552</v>
      </c>
      <c r="B41" s="32">
        <f>B39*0.3</f>
        <v>697.3936386435181</v>
      </c>
      <c r="C41" s="11" t="s">
        <v>131</v>
      </c>
    </row>
    <row r="42" spans="1:3" x14ac:dyDescent="0.2">
      <c r="A42" s="21" t="s">
        <v>312</v>
      </c>
      <c r="B42" s="22">
        <f>+(B39+B40)/220*0.2*110</f>
        <v>232.46454621450599</v>
      </c>
      <c r="C42" s="11" t="s">
        <v>131</v>
      </c>
    </row>
    <row r="43" spans="1:3" x14ac:dyDescent="0.2">
      <c r="A43" s="23" t="s">
        <v>184</v>
      </c>
      <c r="B43" s="22">
        <f>+B42+B39+B40+B41</f>
        <v>3254.5036470030841</v>
      </c>
      <c r="C43" s="11" t="s">
        <v>131</v>
      </c>
    </row>
    <row r="44" spans="1:3" x14ac:dyDescent="0.2">
      <c r="A44" s="21" t="s">
        <v>185</v>
      </c>
      <c r="B44" s="24">
        <f>B17</f>
        <v>81</v>
      </c>
      <c r="C44" s="11" t="s">
        <v>232</v>
      </c>
    </row>
    <row r="45" spans="1:3" x14ac:dyDescent="0.2">
      <c r="A45" s="21" t="s">
        <v>186</v>
      </c>
      <c r="B45" s="22">
        <f>+B43+(B43*B44/100)</f>
        <v>5890.6516010755822</v>
      </c>
      <c r="C45" s="11" t="s">
        <v>131</v>
      </c>
    </row>
    <row r="47" spans="1:3" x14ac:dyDescent="0.2">
      <c r="A47" s="20" t="s">
        <v>90</v>
      </c>
    </row>
    <row r="48" spans="1:3" x14ac:dyDescent="0.2">
      <c r="A48" s="11" t="s">
        <v>7</v>
      </c>
    </row>
    <row r="49" spans="1:3" x14ac:dyDescent="0.2">
      <c r="A49" s="21" t="s">
        <v>112</v>
      </c>
      <c r="B49" s="22">
        <f>B22</f>
        <v>83.4</v>
      </c>
      <c r="C49" s="11" t="s">
        <v>131</v>
      </c>
    </row>
    <row r="50" spans="1:3" x14ac:dyDescent="0.2">
      <c r="A50" s="21" t="s">
        <v>158</v>
      </c>
      <c r="B50" s="22">
        <f>B23</f>
        <v>55</v>
      </c>
      <c r="C50" s="11" t="s">
        <v>131</v>
      </c>
    </row>
    <row r="51" spans="1:3" x14ac:dyDescent="0.2">
      <c r="A51" s="21" t="s">
        <v>211</v>
      </c>
      <c r="B51" s="22">
        <f>B24</f>
        <v>28.400000000000002</v>
      </c>
      <c r="C51" s="11" t="s">
        <v>131</v>
      </c>
    </row>
    <row r="52" spans="1:3" x14ac:dyDescent="0.2">
      <c r="A52" s="23" t="s">
        <v>159</v>
      </c>
      <c r="B52" s="22">
        <f>PREÇOS!G47</f>
        <v>0</v>
      </c>
    </row>
    <row r="53" spans="1:3" x14ac:dyDescent="0.2">
      <c r="A53" s="23" t="s">
        <v>160</v>
      </c>
      <c r="B53" s="22">
        <v>0</v>
      </c>
    </row>
    <row r="54" spans="1:3" x14ac:dyDescent="0.2">
      <c r="A54" s="23" t="s">
        <v>239</v>
      </c>
      <c r="B54" s="25">
        <f>+B27</f>
        <v>302.39999999999998</v>
      </c>
      <c r="C54" s="11" t="s">
        <v>131</v>
      </c>
    </row>
    <row r="55" spans="1:3" x14ac:dyDescent="0.2">
      <c r="A55" s="23" t="s">
        <v>177</v>
      </c>
      <c r="B55" s="25"/>
      <c r="C55" s="11" t="s">
        <v>131</v>
      </c>
    </row>
    <row r="56" spans="1:3" x14ac:dyDescent="0.2">
      <c r="A56" s="23" t="s">
        <v>565</v>
      </c>
      <c r="B56" s="25">
        <f>B29</f>
        <v>41</v>
      </c>
      <c r="C56" s="11" t="s">
        <v>131</v>
      </c>
    </row>
    <row r="57" spans="1:3" x14ac:dyDescent="0.2">
      <c r="A57" s="23" t="s">
        <v>369</v>
      </c>
      <c r="B57" s="25">
        <f>B54+B49+B55+B56</f>
        <v>426.79999999999995</v>
      </c>
      <c r="C57" s="11" t="s">
        <v>131</v>
      </c>
    </row>
    <row r="58" spans="1:3" x14ac:dyDescent="0.2">
      <c r="A58" s="36"/>
      <c r="B58" s="36"/>
      <c r="C58" s="36"/>
    </row>
    <row r="59" spans="1:3" x14ac:dyDescent="0.2">
      <c r="A59" s="26" t="s">
        <v>9</v>
      </c>
      <c r="B59" s="27">
        <f>B57+B45</f>
        <v>6317.4516010755824</v>
      </c>
      <c r="C59" s="31" t="s">
        <v>131</v>
      </c>
    </row>
    <row r="60" spans="1:3" hidden="1" x14ac:dyDescent="0.2">
      <c r="A60" s="29" t="s">
        <v>313</v>
      </c>
      <c r="B60" s="27">
        <f>B59/220</f>
        <v>28.715689095798101</v>
      </c>
      <c r="C60" s="33" t="s">
        <v>307</v>
      </c>
    </row>
  </sheetData>
  <mergeCells count="3">
    <mergeCell ref="A1:B1"/>
    <mergeCell ref="A2:B2"/>
    <mergeCell ref="A7:B7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8"/>
  <sheetViews>
    <sheetView view="pageBreakPreview" topLeftCell="A6" zoomScaleNormal="100" zoomScaleSheetLayoutView="100" workbookViewId="0">
      <selection activeCell="A29" sqref="A29"/>
    </sheetView>
  </sheetViews>
  <sheetFormatPr defaultColWidth="12" defaultRowHeight="12.75" x14ac:dyDescent="0.2"/>
  <cols>
    <col min="1" max="1" width="62.1640625" style="11" customWidth="1"/>
    <col min="2" max="2" width="18.33203125" style="11" customWidth="1"/>
    <col min="3" max="3" width="11" style="11" customWidth="1"/>
    <col min="4" max="16384" width="12" style="11"/>
  </cols>
  <sheetData>
    <row r="1" spans="1:6" ht="18.75" hidden="1" x14ac:dyDescent="0.3">
      <c r="A1" s="338" t="s">
        <v>226</v>
      </c>
      <c r="B1" s="338"/>
      <c r="C1" s="135"/>
      <c r="D1" s="135"/>
      <c r="E1" s="135"/>
      <c r="F1" s="10"/>
    </row>
    <row r="2" spans="1:6" ht="18" hidden="1" customHeight="1" x14ac:dyDescent="0.25">
      <c r="A2" s="338"/>
      <c r="B2" s="338"/>
      <c r="C2" s="135"/>
      <c r="D2" s="135"/>
      <c r="E2" s="135"/>
      <c r="F2" s="12"/>
    </row>
    <row r="3" spans="1:6" hidden="1" x14ac:dyDescent="0.2">
      <c r="A3" s="13"/>
      <c r="B3" s="13"/>
      <c r="C3" s="13"/>
      <c r="D3" s="13"/>
      <c r="E3" s="13"/>
      <c r="F3" s="13"/>
    </row>
    <row r="4" spans="1:6" hidden="1" x14ac:dyDescent="0.2">
      <c r="A4" s="13"/>
      <c r="B4" s="13"/>
      <c r="C4" s="13"/>
      <c r="D4" s="13"/>
      <c r="E4" s="13"/>
      <c r="F4" s="13"/>
    </row>
    <row r="5" spans="1:6" hidden="1" x14ac:dyDescent="0.2">
      <c r="A5" s="138" t="s">
        <v>195</v>
      </c>
      <c r="B5" s="138" t="s">
        <v>222</v>
      </c>
      <c r="C5" s="13"/>
      <c r="E5" s="13"/>
      <c r="F5" s="13"/>
    </row>
    <row r="6" spans="1:6" x14ac:dyDescent="0.2">
      <c r="A6" s="12"/>
      <c r="B6" s="13"/>
      <c r="C6" s="13"/>
      <c r="D6" s="13"/>
      <c r="E6" s="13"/>
    </row>
    <row r="7" spans="1:6" x14ac:dyDescent="0.2">
      <c r="A7" s="339" t="s">
        <v>0</v>
      </c>
      <c r="B7" s="339"/>
      <c r="C7" s="136"/>
      <c r="D7" s="136"/>
      <c r="E7" s="136"/>
    </row>
    <row r="8" spans="1:6" x14ac:dyDescent="0.2">
      <c r="A8" s="16"/>
      <c r="B8" s="16"/>
    </row>
    <row r="9" spans="1:6" x14ac:dyDescent="0.2">
      <c r="A9" s="137" t="s">
        <v>352</v>
      </c>
      <c r="B9" s="18"/>
      <c r="E9" s="19"/>
    </row>
    <row r="10" spans="1:6" x14ac:dyDescent="0.2">
      <c r="A10" s="16"/>
      <c r="B10" s="16"/>
    </row>
    <row r="12" spans="1:6" x14ac:dyDescent="0.2">
      <c r="A12" s="20" t="s">
        <v>1</v>
      </c>
    </row>
    <row r="14" spans="1:6" x14ac:dyDescent="0.2">
      <c r="A14" s="21" t="s">
        <v>366</v>
      </c>
      <c r="B14" s="22">
        <f>DADOS!D8</f>
        <v>1975.9486428233013</v>
      </c>
      <c r="C14" s="11" t="s">
        <v>131</v>
      </c>
    </row>
    <row r="15" spans="1:6" x14ac:dyDescent="0.2">
      <c r="A15" s="21" t="s">
        <v>198</v>
      </c>
      <c r="B15" s="32"/>
      <c r="C15" s="11" t="s">
        <v>131</v>
      </c>
    </row>
    <row r="16" spans="1:6" x14ac:dyDescent="0.2">
      <c r="A16" s="23" t="s">
        <v>4</v>
      </c>
      <c r="B16" s="22">
        <f>B14+B15</f>
        <v>1975.9486428233013</v>
      </c>
      <c r="C16" s="11" t="s">
        <v>131</v>
      </c>
    </row>
    <row r="17" spans="1:4" x14ac:dyDescent="0.2">
      <c r="A17" s="21" t="s">
        <v>5</v>
      </c>
      <c r="B17" s="24">
        <f>COLETOR!B16</f>
        <v>81</v>
      </c>
      <c r="C17" s="11" t="s">
        <v>232</v>
      </c>
    </row>
    <row r="18" spans="1:4" x14ac:dyDescent="0.2">
      <c r="A18" s="21" t="s">
        <v>6</v>
      </c>
      <c r="B18" s="22">
        <f>+B16+(B16*B17/100)</f>
        <v>3576.4670435101752</v>
      </c>
      <c r="C18" s="11" t="s">
        <v>131</v>
      </c>
    </row>
    <row r="20" spans="1:4" x14ac:dyDescent="0.2">
      <c r="A20" s="20" t="s">
        <v>90</v>
      </c>
    </row>
    <row r="21" spans="1:4" x14ac:dyDescent="0.2">
      <c r="A21" s="11" t="s">
        <v>7</v>
      </c>
      <c r="C21" s="16"/>
      <c r="D21" s="16"/>
    </row>
    <row r="22" spans="1:4" x14ac:dyDescent="0.2">
      <c r="A22" s="21" t="s">
        <v>112</v>
      </c>
      <c r="B22" s="22">
        <f>B23+B24+B25+B26</f>
        <v>83.4</v>
      </c>
      <c r="C22" s="16" t="s">
        <v>131</v>
      </c>
      <c r="D22" s="16"/>
    </row>
    <row r="23" spans="1:4" x14ac:dyDescent="0.2">
      <c r="A23" s="21" t="s">
        <v>158</v>
      </c>
      <c r="B23" s="22">
        <f>PREÇOS!J23</f>
        <v>55</v>
      </c>
      <c r="C23" s="16" t="s">
        <v>131</v>
      </c>
      <c r="D23" s="16"/>
    </row>
    <row r="24" spans="1:4" x14ac:dyDescent="0.2">
      <c r="A24" s="21" t="s">
        <v>211</v>
      </c>
      <c r="B24" s="22">
        <f>PREÇOS!J27</f>
        <v>28.400000000000002</v>
      </c>
      <c r="C24" s="16" t="s">
        <v>131</v>
      </c>
      <c r="D24" s="16"/>
    </row>
    <row r="25" spans="1:4" x14ac:dyDescent="0.2">
      <c r="A25" s="23" t="s">
        <v>159</v>
      </c>
      <c r="B25" s="22">
        <v>0</v>
      </c>
      <c r="C25" s="16"/>
      <c r="D25" s="16"/>
    </row>
    <row r="26" spans="1:4" x14ac:dyDescent="0.2">
      <c r="A26" s="23" t="s">
        <v>160</v>
      </c>
      <c r="B26" s="22">
        <v>0</v>
      </c>
      <c r="C26" s="16"/>
      <c r="D26" s="16"/>
    </row>
    <row r="27" spans="1:4" x14ac:dyDescent="0.2">
      <c r="A27" s="23" t="s">
        <v>239</v>
      </c>
      <c r="B27" s="25">
        <f>DADOS!D18</f>
        <v>302.39999999999998</v>
      </c>
      <c r="C27" s="16" t="s">
        <v>131</v>
      </c>
    </row>
    <row r="28" spans="1:4" x14ac:dyDescent="0.2">
      <c r="A28" s="23" t="s">
        <v>177</v>
      </c>
      <c r="B28" s="25"/>
      <c r="C28" s="16" t="s">
        <v>131</v>
      </c>
    </row>
    <row r="29" spans="1:4" x14ac:dyDescent="0.2">
      <c r="A29" s="23" t="s">
        <v>565</v>
      </c>
      <c r="B29" s="25">
        <f>COLETOR!B29</f>
        <v>41</v>
      </c>
      <c r="C29" s="11" t="s">
        <v>131</v>
      </c>
    </row>
    <row r="30" spans="1:4" x14ac:dyDescent="0.2">
      <c r="A30" s="23" t="s">
        <v>369</v>
      </c>
      <c r="B30" s="25">
        <f>B27+B22+B28+B29</f>
        <v>426.79999999999995</v>
      </c>
      <c r="C30" s="16" t="s">
        <v>131</v>
      </c>
    </row>
    <row r="32" spans="1:4" x14ac:dyDescent="0.2">
      <c r="A32" s="26" t="s">
        <v>9</v>
      </c>
      <c r="B32" s="27">
        <f>B30+B18</f>
        <v>4003.2670435101754</v>
      </c>
      <c r="C32" s="33" t="s">
        <v>131</v>
      </c>
    </row>
    <row r="33" spans="1:3" hidden="1" x14ac:dyDescent="0.2">
      <c r="A33" s="29" t="s">
        <v>313</v>
      </c>
      <c r="B33" s="27">
        <f>B32/220</f>
        <v>18.196668379591706</v>
      </c>
      <c r="C33" s="33" t="s">
        <v>307</v>
      </c>
    </row>
    <row r="34" spans="1:3" x14ac:dyDescent="0.2">
      <c r="A34" s="34"/>
      <c r="B34" s="35"/>
    </row>
    <row r="35" spans="1:3" x14ac:dyDescent="0.2">
      <c r="A35" s="137" t="str">
        <f>A9</f>
        <v>COMPOSIÇÃO AUXILIAR - AUXILIAR ADMINISTRATIVO I</v>
      </c>
    </row>
    <row r="37" spans="1:3" x14ac:dyDescent="0.2">
      <c r="A37" s="20" t="s">
        <v>1</v>
      </c>
    </row>
    <row r="39" spans="1:3" x14ac:dyDescent="0.2">
      <c r="A39" s="21" t="s">
        <v>366</v>
      </c>
      <c r="B39" s="22">
        <f>+B14</f>
        <v>1975.9486428233013</v>
      </c>
      <c r="C39" s="11" t="s">
        <v>131</v>
      </c>
    </row>
    <row r="40" spans="1:3" x14ac:dyDescent="0.2">
      <c r="A40" s="21" t="s">
        <v>311</v>
      </c>
      <c r="B40" s="22"/>
      <c r="C40" s="11" t="s">
        <v>131</v>
      </c>
    </row>
    <row r="41" spans="1:3" x14ac:dyDescent="0.2">
      <c r="A41" s="21" t="s">
        <v>312</v>
      </c>
      <c r="B41" s="22">
        <f>+(B39+B40)/220*0.2*110</f>
        <v>197.59486428233012</v>
      </c>
      <c r="C41" s="11" t="s">
        <v>131</v>
      </c>
    </row>
    <row r="42" spans="1:3" x14ac:dyDescent="0.2">
      <c r="A42" s="23" t="s">
        <v>184</v>
      </c>
      <c r="B42" s="22">
        <f>+B41+B39+B40</f>
        <v>2173.5435071056313</v>
      </c>
      <c r="C42" s="11" t="s">
        <v>131</v>
      </c>
    </row>
    <row r="43" spans="1:3" x14ac:dyDescent="0.2">
      <c r="A43" s="21" t="s">
        <v>185</v>
      </c>
      <c r="B43" s="24">
        <f>B17</f>
        <v>81</v>
      </c>
      <c r="C43" s="11" t="s">
        <v>232</v>
      </c>
    </row>
    <row r="44" spans="1:3" x14ac:dyDescent="0.2">
      <c r="A44" s="21" t="s">
        <v>186</v>
      </c>
      <c r="B44" s="22">
        <f>+B42+(B42*B43/100)</f>
        <v>3934.1137478611927</v>
      </c>
      <c r="C44" s="11" t="s">
        <v>131</v>
      </c>
    </row>
    <row r="46" spans="1:3" x14ac:dyDescent="0.2">
      <c r="A46" s="20" t="s">
        <v>90</v>
      </c>
    </row>
    <row r="47" spans="1:3" x14ac:dyDescent="0.2">
      <c r="A47" s="11" t="s">
        <v>7</v>
      </c>
    </row>
    <row r="48" spans="1:3" x14ac:dyDescent="0.2">
      <c r="A48" s="21" t="s">
        <v>112</v>
      </c>
      <c r="B48" s="22">
        <f>B22</f>
        <v>83.4</v>
      </c>
      <c r="C48" s="11" t="s">
        <v>131</v>
      </c>
    </row>
    <row r="49" spans="1:7" x14ac:dyDescent="0.2">
      <c r="A49" s="21" t="s">
        <v>158</v>
      </c>
      <c r="B49" s="22">
        <f>PREÇOS!L23</f>
        <v>0</v>
      </c>
      <c r="C49" s="11" t="s">
        <v>131</v>
      </c>
    </row>
    <row r="50" spans="1:7" x14ac:dyDescent="0.2">
      <c r="A50" s="21" t="s">
        <v>211</v>
      </c>
      <c r="B50" s="22">
        <f>PREÇOS!L27</f>
        <v>0</v>
      </c>
      <c r="C50" s="11" t="s">
        <v>131</v>
      </c>
      <c r="E50" s="71">
        <f>B49+B50</f>
        <v>0</v>
      </c>
      <c r="G50" s="71">
        <f>E50*12</f>
        <v>0</v>
      </c>
    </row>
    <row r="51" spans="1:7" x14ac:dyDescent="0.2">
      <c r="A51" s="23" t="s">
        <v>159</v>
      </c>
      <c r="B51" s="22">
        <f>PREÇOS!G47</f>
        <v>0</v>
      </c>
    </row>
    <row r="52" spans="1:7" x14ac:dyDescent="0.2">
      <c r="A52" s="23" t="s">
        <v>160</v>
      </c>
      <c r="B52" s="22">
        <v>0</v>
      </c>
    </row>
    <row r="53" spans="1:7" x14ac:dyDescent="0.2">
      <c r="A53" s="23" t="s">
        <v>370</v>
      </c>
      <c r="B53" s="25">
        <f>+B27</f>
        <v>302.39999999999998</v>
      </c>
      <c r="C53" s="11" t="s">
        <v>131</v>
      </c>
    </row>
    <row r="54" spans="1:7" x14ac:dyDescent="0.2">
      <c r="A54" s="23" t="s">
        <v>177</v>
      </c>
      <c r="B54" s="25"/>
      <c r="C54" s="11" t="s">
        <v>131</v>
      </c>
    </row>
    <row r="55" spans="1:7" x14ac:dyDescent="0.2">
      <c r="A55" s="23" t="s">
        <v>565</v>
      </c>
      <c r="B55" s="25">
        <f>B29</f>
        <v>41</v>
      </c>
      <c r="C55" s="11" t="s">
        <v>131</v>
      </c>
    </row>
    <row r="56" spans="1:7" x14ac:dyDescent="0.2">
      <c r="A56" s="23" t="s">
        <v>369</v>
      </c>
      <c r="B56" s="25">
        <f>B53+B48+B54+B55</f>
        <v>426.79999999999995</v>
      </c>
      <c r="C56" s="11" t="s">
        <v>131</v>
      </c>
    </row>
    <row r="57" spans="1:7" x14ac:dyDescent="0.2">
      <c r="A57" s="36"/>
      <c r="B57" s="36"/>
      <c r="C57" s="36"/>
    </row>
    <row r="58" spans="1:7" x14ac:dyDescent="0.2">
      <c r="A58" s="26" t="s">
        <v>9</v>
      </c>
      <c r="B58" s="27">
        <f>B56+B44</f>
        <v>4360.9137478611929</v>
      </c>
      <c r="C58" s="31" t="s">
        <v>131</v>
      </c>
    </row>
  </sheetData>
  <mergeCells count="3">
    <mergeCell ref="A1:B1"/>
    <mergeCell ref="A2:B2"/>
    <mergeCell ref="A7:B7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"/>
  <sheetViews>
    <sheetView view="pageBreakPreview" topLeftCell="A8" zoomScaleSheetLayoutView="100" workbookViewId="0">
      <selection activeCell="A64" sqref="A64"/>
    </sheetView>
  </sheetViews>
  <sheetFormatPr defaultColWidth="12" defaultRowHeight="12.75" x14ac:dyDescent="0.2"/>
  <cols>
    <col min="1" max="1" width="62.1640625" style="11" customWidth="1"/>
    <col min="2" max="2" width="18.33203125" style="11" customWidth="1"/>
    <col min="3" max="3" width="11" style="11" customWidth="1"/>
    <col min="4" max="16384" width="12" style="11"/>
  </cols>
  <sheetData>
    <row r="1" spans="1:6" ht="18.75" hidden="1" x14ac:dyDescent="0.3">
      <c r="A1" s="338" t="s">
        <v>226</v>
      </c>
      <c r="B1" s="338"/>
      <c r="C1" s="135"/>
      <c r="D1" s="135"/>
      <c r="E1" s="135"/>
      <c r="F1" s="10"/>
    </row>
    <row r="2" spans="1:6" ht="18" hidden="1" customHeight="1" x14ac:dyDescent="0.25">
      <c r="A2" s="338"/>
      <c r="B2" s="338"/>
      <c r="C2" s="135"/>
      <c r="D2" s="135"/>
      <c r="E2" s="135"/>
      <c r="F2" s="12"/>
    </row>
    <row r="3" spans="1:6" hidden="1" x14ac:dyDescent="0.2">
      <c r="A3" s="13"/>
      <c r="B3" s="13"/>
      <c r="C3" s="13"/>
      <c r="D3" s="13"/>
      <c r="E3" s="13"/>
      <c r="F3" s="13"/>
    </row>
    <row r="4" spans="1:6" hidden="1" x14ac:dyDescent="0.2">
      <c r="A4" s="13"/>
      <c r="B4" s="13"/>
      <c r="C4" s="13"/>
      <c r="D4" s="13"/>
      <c r="E4" s="13"/>
      <c r="F4" s="13"/>
    </row>
    <row r="5" spans="1:6" hidden="1" x14ac:dyDescent="0.2">
      <c r="A5" s="138" t="s">
        <v>195</v>
      </c>
      <c r="B5" s="138" t="s">
        <v>222</v>
      </c>
      <c r="C5" s="13"/>
      <c r="E5" s="13"/>
      <c r="F5" s="13"/>
    </row>
    <row r="6" spans="1:6" x14ac:dyDescent="0.2">
      <c r="A6" s="12"/>
      <c r="B6" s="13"/>
      <c r="C6" s="13"/>
      <c r="D6" s="13"/>
      <c r="E6" s="13"/>
    </row>
    <row r="7" spans="1:6" x14ac:dyDescent="0.2">
      <c r="A7" s="339" t="s">
        <v>0</v>
      </c>
      <c r="B7" s="339"/>
      <c r="C7" s="136"/>
      <c r="D7" s="136"/>
      <c r="E7" s="136"/>
    </row>
    <row r="8" spans="1:6" x14ac:dyDescent="0.2">
      <c r="A8" s="16"/>
      <c r="B8" s="16"/>
    </row>
    <row r="9" spans="1:6" x14ac:dyDescent="0.2">
      <c r="A9" s="137" t="s">
        <v>353</v>
      </c>
      <c r="B9" s="18"/>
      <c r="E9" s="19"/>
    </row>
    <row r="10" spans="1:6" x14ac:dyDescent="0.2">
      <c r="A10" s="16"/>
      <c r="B10" s="16"/>
    </row>
    <row r="12" spans="1:6" x14ac:dyDescent="0.2">
      <c r="A12" s="20" t="s">
        <v>1</v>
      </c>
    </row>
    <row r="14" spans="1:6" x14ac:dyDescent="0.2">
      <c r="A14" s="21" t="s">
        <v>365</v>
      </c>
      <c r="B14" s="22">
        <f>DADOS!D10</f>
        <v>4500</v>
      </c>
      <c r="C14" s="11" t="s">
        <v>131</v>
      </c>
    </row>
    <row r="15" spans="1:6" x14ac:dyDescent="0.2">
      <c r="A15" s="21" t="s">
        <v>198</v>
      </c>
      <c r="B15" s="32"/>
      <c r="C15" s="11" t="s">
        <v>131</v>
      </c>
    </row>
    <row r="16" spans="1:6" x14ac:dyDescent="0.2">
      <c r="A16" s="23" t="s">
        <v>4</v>
      </c>
      <c r="B16" s="22">
        <f>B14+B15</f>
        <v>4500</v>
      </c>
      <c r="C16" s="11" t="s">
        <v>131</v>
      </c>
    </row>
    <row r="17" spans="1:4" x14ac:dyDescent="0.2">
      <c r="A17" s="21" t="s">
        <v>5</v>
      </c>
      <c r="B17" s="24">
        <f>COLETOR!B16</f>
        <v>81</v>
      </c>
      <c r="C17" s="11" t="s">
        <v>232</v>
      </c>
    </row>
    <row r="18" spans="1:4" x14ac:dyDescent="0.2">
      <c r="A18" s="21" t="s">
        <v>6</v>
      </c>
      <c r="B18" s="22">
        <f>+B16+(B16*B17/100)</f>
        <v>8145</v>
      </c>
      <c r="C18" s="11" t="s">
        <v>131</v>
      </c>
    </row>
    <row r="20" spans="1:4" x14ac:dyDescent="0.2">
      <c r="A20" s="20" t="s">
        <v>90</v>
      </c>
    </row>
    <row r="21" spans="1:4" x14ac:dyDescent="0.2">
      <c r="A21" s="11" t="s">
        <v>7</v>
      </c>
      <c r="C21" s="16"/>
      <c r="D21" s="16"/>
    </row>
    <row r="22" spans="1:4" x14ac:dyDescent="0.2">
      <c r="A22" s="21" t="s">
        <v>112</v>
      </c>
      <c r="B22" s="22">
        <f>B23+B24+B25+B26</f>
        <v>0</v>
      </c>
      <c r="C22" s="16" t="s">
        <v>131</v>
      </c>
      <c r="D22" s="16"/>
    </row>
    <row r="23" spans="1:4" x14ac:dyDescent="0.2">
      <c r="A23" s="21" t="s">
        <v>158</v>
      </c>
      <c r="B23" s="22"/>
      <c r="C23" s="16" t="s">
        <v>131</v>
      </c>
      <c r="D23" s="16"/>
    </row>
    <row r="24" spans="1:4" x14ac:dyDescent="0.2">
      <c r="A24" s="21" t="s">
        <v>211</v>
      </c>
      <c r="B24" s="22"/>
      <c r="C24" s="16" t="s">
        <v>131</v>
      </c>
      <c r="D24" s="16"/>
    </row>
    <row r="25" spans="1:4" x14ac:dyDescent="0.2">
      <c r="A25" s="23" t="s">
        <v>159</v>
      </c>
      <c r="B25" s="22">
        <v>0</v>
      </c>
      <c r="C25" s="16"/>
      <c r="D25" s="16"/>
    </row>
    <row r="26" spans="1:4" x14ac:dyDescent="0.2">
      <c r="A26" s="23" t="s">
        <v>160</v>
      </c>
      <c r="B26" s="22">
        <v>0</v>
      </c>
      <c r="C26" s="16"/>
      <c r="D26" s="16"/>
    </row>
    <row r="27" spans="1:4" x14ac:dyDescent="0.2">
      <c r="A27" s="23" t="s">
        <v>239</v>
      </c>
      <c r="B27" s="25">
        <f>'AUX I'!B53</f>
        <v>302.39999999999998</v>
      </c>
      <c r="C27" s="16" t="s">
        <v>131</v>
      </c>
    </row>
    <row r="28" spans="1:4" x14ac:dyDescent="0.2">
      <c r="A28" s="23" t="s">
        <v>177</v>
      </c>
      <c r="B28" s="25"/>
      <c r="C28" s="16" t="s">
        <v>131</v>
      </c>
    </row>
    <row r="29" spans="1:4" x14ac:dyDescent="0.2">
      <c r="A29" s="23" t="s">
        <v>565</v>
      </c>
      <c r="B29" s="25">
        <f>COLETOR!B29</f>
        <v>41</v>
      </c>
      <c r="C29" s="11" t="s">
        <v>131</v>
      </c>
    </row>
    <row r="30" spans="1:4" x14ac:dyDescent="0.2">
      <c r="A30" s="23" t="s">
        <v>369</v>
      </c>
      <c r="B30" s="25">
        <f>B27+B22+B28+B29</f>
        <v>343.4</v>
      </c>
      <c r="C30" s="16" t="s">
        <v>131</v>
      </c>
    </row>
    <row r="32" spans="1:4" x14ac:dyDescent="0.2">
      <c r="A32" s="26" t="s">
        <v>9</v>
      </c>
      <c r="B32" s="27">
        <f>B30+B18</f>
        <v>8488.4</v>
      </c>
      <c r="C32" s="33" t="s">
        <v>131</v>
      </c>
    </row>
    <row r="33" spans="1:3" hidden="1" x14ac:dyDescent="0.2">
      <c r="A33" s="29" t="s">
        <v>313</v>
      </c>
      <c r="B33" s="27">
        <f>B32/220</f>
        <v>38.583636363636359</v>
      </c>
      <c r="C33" s="33" t="s">
        <v>307</v>
      </c>
    </row>
    <row r="34" spans="1:3" x14ac:dyDescent="0.2">
      <c r="A34" s="34"/>
      <c r="B34" s="35"/>
    </row>
    <row r="35" spans="1:3" x14ac:dyDescent="0.2">
      <c r="A35" s="137" t="str">
        <f>A9</f>
        <v xml:space="preserve">COMPOSIÇÃO AUXILIAR -  GERENTE I </v>
      </c>
    </row>
    <row r="37" spans="1:3" x14ac:dyDescent="0.2">
      <c r="A37" s="20" t="s">
        <v>1</v>
      </c>
    </row>
    <row r="39" spans="1:3" x14ac:dyDescent="0.2">
      <c r="A39" s="21" t="s">
        <v>365</v>
      </c>
      <c r="B39" s="22">
        <f>+B14</f>
        <v>4500</v>
      </c>
      <c r="C39" s="11" t="s">
        <v>131</v>
      </c>
    </row>
    <row r="40" spans="1:3" x14ac:dyDescent="0.2">
      <c r="A40" s="21" t="s">
        <v>311</v>
      </c>
      <c r="B40" s="22"/>
      <c r="C40" s="11" t="s">
        <v>131</v>
      </c>
    </row>
    <row r="41" spans="1:3" x14ac:dyDescent="0.2">
      <c r="A41" s="21" t="s">
        <v>312</v>
      </c>
      <c r="B41" s="22">
        <f>+(B39+B40)/220*0.2*110</f>
        <v>450</v>
      </c>
      <c r="C41" s="11" t="s">
        <v>131</v>
      </c>
    </row>
    <row r="42" spans="1:3" x14ac:dyDescent="0.2">
      <c r="A42" s="23" t="s">
        <v>184</v>
      </c>
      <c r="B42" s="22">
        <f>+B41+B39+B40</f>
        <v>4950</v>
      </c>
      <c r="C42" s="11" t="s">
        <v>131</v>
      </c>
    </row>
    <row r="43" spans="1:3" x14ac:dyDescent="0.2">
      <c r="A43" s="21" t="s">
        <v>185</v>
      </c>
      <c r="B43" s="24">
        <f>B17</f>
        <v>81</v>
      </c>
      <c r="C43" s="11" t="s">
        <v>232</v>
      </c>
    </row>
    <row r="44" spans="1:3" x14ac:dyDescent="0.2">
      <c r="A44" s="21" t="s">
        <v>186</v>
      </c>
      <c r="B44" s="22">
        <f>+B42+(B42*B43/100)</f>
        <v>8959.5</v>
      </c>
      <c r="C44" s="11" t="s">
        <v>131</v>
      </c>
    </row>
    <row r="46" spans="1:3" x14ac:dyDescent="0.2">
      <c r="A46" s="20" t="s">
        <v>90</v>
      </c>
    </row>
    <row r="47" spans="1:3" x14ac:dyDescent="0.2">
      <c r="A47" s="11" t="s">
        <v>7</v>
      </c>
    </row>
    <row r="48" spans="1:3" x14ac:dyDescent="0.2">
      <c r="A48" s="21" t="s">
        <v>112</v>
      </c>
      <c r="B48" s="22">
        <f>B22</f>
        <v>0</v>
      </c>
      <c r="C48" s="11" t="s">
        <v>131</v>
      </c>
    </row>
    <row r="49" spans="1:3" x14ac:dyDescent="0.2">
      <c r="A49" s="21" t="s">
        <v>158</v>
      </c>
      <c r="B49" s="22"/>
      <c r="C49" s="11" t="s">
        <v>131</v>
      </c>
    </row>
    <row r="50" spans="1:3" x14ac:dyDescent="0.2">
      <c r="A50" s="21" t="s">
        <v>371</v>
      </c>
      <c r="B50" s="22"/>
      <c r="C50" s="11" t="s">
        <v>131</v>
      </c>
    </row>
    <row r="51" spans="1:3" x14ac:dyDescent="0.2">
      <c r="A51" s="23" t="s">
        <v>159</v>
      </c>
      <c r="B51" s="22">
        <f>PREÇOS!G47</f>
        <v>0</v>
      </c>
    </row>
    <row r="52" spans="1:3" x14ac:dyDescent="0.2">
      <c r="A52" s="23" t="s">
        <v>160</v>
      </c>
      <c r="B52" s="22">
        <v>0</v>
      </c>
    </row>
    <row r="53" spans="1:3" x14ac:dyDescent="0.2">
      <c r="A53" s="23" t="s">
        <v>239</v>
      </c>
      <c r="B53" s="25">
        <f>+B27</f>
        <v>302.39999999999998</v>
      </c>
      <c r="C53" s="11" t="s">
        <v>131</v>
      </c>
    </row>
    <row r="54" spans="1:3" x14ac:dyDescent="0.2">
      <c r="A54" s="23" t="s">
        <v>177</v>
      </c>
      <c r="B54" s="25"/>
      <c r="C54" s="11" t="s">
        <v>131</v>
      </c>
    </row>
    <row r="55" spans="1:3" x14ac:dyDescent="0.2">
      <c r="A55" s="23" t="s">
        <v>565</v>
      </c>
      <c r="B55" s="25">
        <f>B29</f>
        <v>41</v>
      </c>
      <c r="C55" s="11" t="s">
        <v>131</v>
      </c>
    </row>
    <row r="56" spans="1:3" x14ac:dyDescent="0.2">
      <c r="A56" s="23" t="s">
        <v>369</v>
      </c>
      <c r="B56" s="25">
        <f>B53+B48+B54+B55</f>
        <v>343.4</v>
      </c>
      <c r="C56" s="11" t="s">
        <v>131</v>
      </c>
    </row>
    <row r="57" spans="1:3" x14ac:dyDescent="0.2">
      <c r="A57" s="36"/>
      <c r="B57" s="36"/>
      <c r="C57" s="36"/>
    </row>
    <row r="58" spans="1:3" x14ac:dyDescent="0.2">
      <c r="A58" s="26" t="s">
        <v>9</v>
      </c>
      <c r="B58" s="27">
        <f>B56+B44</f>
        <v>9302.9</v>
      </c>
      <c r="C58" s="31" t="s">
        <v>131</v>
      </c>
    </row>
    <row r="59" spans="1:3" hidden="1" x14ac:dyDescent="0.2">
      <c r="A59" s="29" t="s">
        <v>313</v>
      </c>
      <c r="B59" s="27">
        <f>B58/220</f>
        <v>42.285909090909087</v>
      </c>
      <c r="C59" s="33" t="s">
        <v>307</v>
      </c>
    </row>
  </sheetData>
  <mergeCells count="3">
    <mergeCell ref="A1:B1"/>
    <mergeCell ref="A2:B2"/>
    <mergeCell ref="A7:B7"/>
  </mergeCells>
  <pageMargins left="1.1811023622047245" right="0.78740157480314965" top="1.3779527559055118" bottom="0.98425196850393704" header="0.51181102362204722" footer="0.51181102362204722"/>
  <pageSetup paperSize="9" scale="74" orientation="portrait" r:id="rId1"/>
  <headerFooter alignWithMargins="0">
    <oddHeader>&amp;L&amp;G</oddHeader>
    <oddFooter>&amp;C&amp;"Calibri,Regular"CNPJ: 41.244.542/0001-97
Cabo Corporate Center – Torre Aníbal Cardoso 
Rua Cento e Sessenta e Três, 226 – sala 405  -  Cabo de Santo Agostinho– PE  - CEP:  54518-430  
Tel.: (81) 3076-0018  / e-mail: nrjambiental@gmail.com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34</vt:i4>
      </vt:variant>
      <vt:variant>
        <vt:lpstr>Intervalos Nomeados</vt:lpstr>
      </vt:variant>
      <vt:variant>
        <vt:i4>49</vt:i4>
      </vt:variant>
    </vt:vector>
  </HeadingPairs>
  <TitlesOfParts>
    <vt:vector size="83" baseType="lpstr">
      <vt:lpstr>RESUMO</vt:lpstr>
      <vt:lpstr>ELMAR</vt:lpstr>
      <vt:lpstr>DADOS</vt:lpstr>
      <vt:lpstr>COLETOR</vt:lpstr>
      <vt:lpstr>VARREDOR</vt:lpstr>
      <vt:lpstr>MOTORISTA</vt:lpstr>
      <vt:lpstr>ENC I</vt:lpstr>
      <vt:lpstr>AUX I</vt:lpstr>
      <vt:lpstr>GER I</vt:lpstr>
      <vt:lpstr>VIGIA</vt:lpstr>
      <vt:lpstr>BASCULANTE 6</vt:lpstr>
      <vt:lpstr>basc 12m3</vt:lpstr>
      <vt:lpstr>COMPACTADOR 15 m3</vt:lpstr>
      <vt:lpstr>Cavalo</vt:lpstr>
      <vt:lpstr>Carreta</vt:lpstr>
      <vt:lpstr>COMP NOTURNO</vt:lpstr>
      <vt:lpstr>reserva</vt:lpstr>
      <vt:lpstr>CAMP TRANSP</vt:lpstr>
      <vt:lpstr>retro</vt:lpstr>
      <vt:lpstr>VARRIÇÃO</vt:lpstr>
      <vt:lpstr>DOMICILIAR</vt:lpstr>
      <vt:lpstr>volumosos</vt:lpstr>
      <vt:lpstr>vol1</vt:lpstr>
      <vt:lpstr>Podação</vt:lpstr>
      <vt:lpstr>ENSACADA</vt:lpstr>
      <vt:lpstr>CAPINAÇÃO</vt:lpstr>
      <vt:lpstr>pintura</vt:lpstr>
      <vt:lpstr>diversos</vt:lpstr>
      <vt:lpstr>TRANSB</vt:lpstr>
      <vt:lpstr>TRANSP</vt:lpstr>
      <vt:lpstr>Adm1</vt:lpstr>
      <vt:lpstr>PREÇOS</vt:lpstr>
      <vt:lpstr>Encargos</vt:lpstr>
      <vt:lpstr>BDI</vt:lpstr>
      <vt:lpstr>'Adm1'!Area_de_impressao</vt:lpstr>
      <vt:lpstr>'AUX I'!Area_de_impressao</vt:lpstr>
      <vt:lpstr>'basc 12m3'!Area_de_impressao</vt:lpstr>
      <vt:lpstr>'BASCULANTE 6'!Area_de_impressao</vt:lpstr>
      <vt:lpstr>BDI!Area_de_impressao</vt:lpstr>
      <vt:lpstr>'CAMP TRANSP'!Area_de_impressao</vt:lpstr>
      <vt:lpstr>CAPINAÇÃO!Area_de_impressao</vt:lpstr>
      <vt:lpstr>Carreta!Area_de_impressao</vt:lpstr>
      <vt:lpstr>Cavalo!Area_de_impressao</vt:lpstr>
      <vt:lpstr>COLETOR!Area_de_impressao</vt:lpstr>
      <vt:lpstr>'COMP NOTURNO'!Area_de_impressao</vt:lpstr>
      <vt:lpstr>'COMPACTADOR 15 m3'!Area_de_impressao</vt:lpstr>
      <vt:lpstr>DADOS!Area_de_impressao</vt:lpstr>
      <vt:lpstr>diversos!Area_de_impressao</vt:lpstr>
      <vt:lpstr>DOMICILIAR!Area_de_impressao</vt:lpstr>
      <vt:lpstr>'ENC I'!Area_de_impressao</vt:lpstr>
      <vt:lpstr>Encargos!Area_de_impressao</vt:lpstr>
      <vt:lpstr>ENSACADA!Area_de_impressao</vt:lpstr>
      <vt:lpstr>'GER I'!Area_de_impressao</vt:lpstr>
      <vt:lpstr>MOTORISTA!Area_de_impressao</vt:lpstr>
      <vt:lpstr>pintura!Area_de_impressao</vt:lpstr>
      <vt:lpstr>Podação!Area_de_impressao</vt:lpstr>
      <vt:lpstr>PREÇOS!Area_de_impressao</vt:lpstr>
      <vt:lpstr>reserva!Area_de_impressao</vt:lpstr>
      <vt:lpstr>RESUMO!Area_de_impressao</vt:lpstr>
      <vt:lpstr>retro!Area_de_impressao</vt:lpstr>
      <vt:lpstr>TRANSB!Area_de_impressao</vt:lpstr>
      <vt:lpstr>TRANSP!Area_de_impressao</vt:lpstr>
      <vt:lpstr>VARREDOR!Area_de_impressao</vt:lpstr>
      <vt:lpstr>VARRIÇÃO!Area_de_impressao</vt:lpstr>
      <vt:lpstr>VIGIA!Area_de_impressao</vt:lpstr>
      <vt:lpstr>'vol1'!Area_de_impressao</vt:lpstr>
      <vt:lpstr>volumosos!Area_de_impressao</vt:lpstr>
      <vt:lpstr>'Adm1'!Titulos_de_impressao</vt:lpstr>
      <vt:lpstr>'BASCULANTE 6'!Titulos_de_impressao</vt:lpstr>
      <vt:lpstr>CAPINAÇÃO!Titulos_de_impressao</vt:lpstr>
      <vt:lpstr>'COMPACTADOR 15 m3'!Titulos_de_impressao</vt:lpstr>
      <vt:lpstr>diversos!Titulos_de_impressao</vt:lpstr>
      <vt:lpstr>DOMICILIAR!Titulos_de_impressao</vt:lpstr>
      <vt:lpstr>ENSACADA!Titulos_de_impressao</vt:lpstr>
      <vt:lpstr>MOTORISTA!Titulos_de_impressao</vt:lpstr>
      <vt:lpstr>pintura!Titulos_de_impressao</vt:lpstr>
      <vt:lpstr>Podação!Titulos_de_impressao</vt:lpstr>
      <vt:lpstr>RESUMO!Titulos_de_impressao</vt:lpstr>
      <vt:lpstr>TRANSP!Titulos_de_impressao</vt:lpstr>
      <vt:lpstr>VARREDOR!Titulos_de_impressao</vt:lpstr>
      <vt:lpstr>VARRIÇÃO!Titulos_de_impressao</vt:lpstr>
      <vt:lpstr>'vol1'!Titulos_de_impressao</vt:lpstr>
      <vt:lpstr>volumosos!Titulos_de_impressao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</dc:creator>
  <cp:lastModifiedBy>Usuário</cp:lastModifiedBy>
  <cp:lastPrinted>2022-08-24T15:08:48Z</cp:lastPrinted>
  <dcterms:created xsi:type="dcterms:W3CDTF">1999-10-15T12:11:47Z</dcterms:created>
  <dcterms:modified xsi:type="dcterms:W3CDTF">2022-11-23T14:56:36Z</dcterms:modified>
</cp:coreProperties>
</file>